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mployee Folders\DK\Budget\Budgets\FY23\Palm Bay\"/>
    </mc:Choice>
  </mc:AlternateContent>
  <xr:revisionPtr revIDLastSave="0" documentId="13_ncr:1_{6320DC19-6916-44DA-84E3-2804C40998B5}" xr6:coauthVersionLast="47" xr6:coauthVersionMax="47" xr10:uidLastSave="{00000000-0000-0000-0000-000000000000}"/>
  <bookViews>
    <workbookView xWindow="-108" yWindow="-108" windowWidth="23256" windowHeight="12576" tabRatio="601" xr2:uid="{00000000-000D-0000-FFFF-FFFF00000000}"/>
  </bookViews>
  <sheets>
    <sheet name="Budget" sheetId="5" r:id="rId1"/>
    <sheet name="Revenue Input" sheetId="8" r:id="rId2"/>
    <sheet name="Payroll Input" sheetId="1" r:id="rId3"/>
    <sheet name="Expense Input" sheetId="6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__grp1">[1]SUMMARY!#REF!</definedName>
    <definedName name="____grp1">[1]SUMMARY!#REF!</definedName>
    <definedName name="__grp1">[1]SUMMARY!#REF!</definedName>
    <definedName name="_1.__2009_10_FEFP_State_and_Local_Funding">#REF!</definedName>
    <definedName name="_1.__2010_11_FEFP_State_and_Local_Funding">#REF!</definedName>
    <definedName name="_1_0g">[2]SUMMARY!#REF!</definedName>
    <definedName name="_101_Basic_K_3">#REF!</definedName>
    <definedName name="_102_Basic_4_8">#REF!</definedName>
    <definedName name="_103_Basic_9_12">#REF!</definedName>
    <definedName name="_111_Basic_K_3_with_ESE_Services">#REF!</definedName>
    <definedName name="_112_Basic_4_8_with_ESE_Services">#REF!</definedName>
    <definedName name="_113_Basic_9_12_with_ESE_Services">#REF!</definedName>
    <definedName name="_130_ESOL__Grade_Level_4_8">#REF!</definedName>
    <definedName name="_130_ESOL__Grade_Level_9_12">#REF!</definedName>
    <definedName name="_130_ESOL__Grade_Level_PK_3">#REF!</definedName>
    <definedName name="_2.__ESE_Guaranteed_Allocation">#REF!</definedName>
    <definedName name="_2010_11_Base_Funding_WFTE_x_BSA_x_DCD">#REF!</definedName>
    <definedName name="_254_ESE_Level_4__Grade_Level_4_8">#REF!</definedName>
    <definedName name="_254_ESE_Level_4__Grade_Level_9_12">#REF!</definedName>
    <definedName name="_254_ESE_Level_4__Grade_Level_PK_3">#REF!</definedName>
    <definedName name="_255_ESE_Level_5__Grade_Level_4_8">#REF!</definedName>
    <definedName name="_255_ESE_Level_5__Grade_Level_9_12">#REF!</definedName>
    <definedName name="_255_ESE_Level_5__Grade_Level_PK_3">#REF!</definedName>
    <definedName name="_2g">[2]SUMMARY!#REF!</definedName>
    <definedName name="_3.__Supplemental_Academic_Instruction">#REF!</definedName>
    <definedName name="_300_Career_Education__Grades_9_12">#REF!</definedName>
    <definedName name="_4_8">#REF!</definedName>
    <definedName name="_9_12">#REF!</definedName>
    <definedName name="_Add_On_FTE">#REF!</definedName>
    <definedName name="_DEC06">#REF!</definedName>
    <definedName name="_xlnm._FilterDatabase" localSheetId="0" hidden="1">Budget!$J$1:$J$457</definedName>
    <definedName name="_xlnm._FilterDatabase" localSheetId="3" hidden="1">'Expense Input'!$Y$1:$Y$181</definedName>
    <definedName name="_xlnm._FilterDatabase" localSheetId="2" hidden="1">'Payroll Input'!$Q$1:$Q$167</definedName>
    <definedName name="_xlnm._FilterDatabase" localSheetId="1" hidden="1">'Revenue Input'!$W$1:$W$197</definedName>
    <definedName name="_grp1">[3]SUMMARY!#REF!</definedName>
    <definedName name="Actual_Additional_.25_Discretionary_Revenue">'[4] Detail 2015-16 Fourth FEFP'!#REF!</definedName>
    <definedName name="Add_On_FTE">#REF!</definedName>
    <definedName name="Allocation_factors">#REF!</definedName>
    <definedName name="ARRA_State_Fiscal_Stabilization">'[4] Detail 2015-16 Fourth FEFP'!#REF!</definedName>
    <definedName name="Base_Student_Allocation">#REF!</definedName>
    <definedName name="Based_on_the_Second_Calculation_of_the_FEFP_2010_11">#REF!</definedName>
    <definedName name="CAP" localSheetId="3" hidden="1">{#N/A,#N/A,FALSE,"Summation";#N/A,#N/A,FALSE,"BSA";#N/A,#N/A,FALSE,"Detail1";#N/A,#N/A,FALSE,"Detail2";#N/A,#N/A,FALSE,"Detail3";#N/A,#N/A,FALSE,"WFTE_Summary";#N/A,#N/A,FALSE,"Funded_WFTE";#N/A,#N/A,FALSE,"PYADJ96"}</definedName>
    <definedName name="CAP" hidden="1">{#N/A,#N/A,FALSE,"Summation";#N/A,#N/A,FALSE,"BSA";#N/A,#N/A,FALSE,"Detail1";#N/A,#N/A,FALSE,"Detail2";#N/A,#N/A,FALSE,"Detail3";#N/A,#N/A,FALSE,"WFTE_Summary";#N/A,#N/A,FALSE,"Funded_WFTE";#N/A,#N/A,FALSE,"PYADJ96"}</definedName>
    <definedName name="d_grp1">[2]SUMMARY!#REF!</definedName>
    <definedName name="DCD">#REF!</definedName>
    <definedName name="Discretionary_Tax_Compression_0.25_mills">'[4] Detail 2015-16 Fourth FEFP'!#REF!</definedName>
    <definedName name="District_Cost_Differential">#REF!</definedName>
    <definedName name="District_SAI_Allocation">#REF!</definedName>
    <definedName name="divided_by_district_FTE">#REF!</definedName>
    <definedName name="EnrNew">'Revenue Input'!$O$64</definedName>
    <definedName name="EnrOld">'Revenue Input'!$O$63</definedName>
    <definedName name="Equal_Percent_Adjustment">'[4] Detail 2015-16 Fourth FEFP'!#REF!</definedName>
    <definedName name="ExpInf">#REF!</definedName>
    <definedName name="FTE">#REF!</definedName>
    <definedName name="Grade_Level">#REF!</definedName>
    <definedName name="GSFA" localSheetId="0">[5]PBEDL!#REF!</definedName>
    <definedName name="GSFA" localSheetId="3">[5]PBEDL!#REF!</definedName>
    <definedName name="GSFA">[6]Data!#REF!</definedName>
    <definedName name="Guarantee_Per_Student">#REF!</definedName>
    <definedName name="HTML_CodePage" hidden="1">1252</definedName>
    <definedName name="HTML_Control" localSheetId="3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hidden="1">{"'AssumptionsHTML'!$B$9:$E$357","'SummationHTML'!$A$4:$J$93","'Difference'!$A$11:$K$101","'DifferenceFTE'!$A$11:$K$101","'Detail1'!$A$11:$I$97","'Detail2'!$A$11:$J$97","'Detail3'!$A$11:$J$97","'Categorical1'!$A$11:$L$97"}</definedName>
    <definedName name="HTML_Description" hidden="1">""</definedName>
    <definedName name="HTML_Email" hidden="1">""</definedName>
    <definedName name="HTML_Header" hidden="1">""</definedName>
    <definedName name="HTML_LastUpdate" hidden="1">"9/4/97"</definedName>
    <definedName name="HTML_LineAfter" hidden="1">FALSE</definedName>
    <definedName name="HTML_LineBefore" hidden="1">FALSE</definedName>
    <definedName name="HTML_Name" hidden="1">"David Montford"</definedName>
    <definedName name="HTML_OBDlg2" hidden="1">TRUE</definedName>
    <definedName name="HTML_OBDlg4" hidden="1">TRUE</definedName>
    <definedName name="HTML_OS" hidden="1">0</definedName>
    <definedName name="HTML_PathFile" hidden="1">"H:\XLFILES\test.htm"</definedName>
    <definedName name="HTML_Title" hidden="1">""</definedName>
    <definedName name="Inf">'Revenue Input'!$O$65</definedName>
    <definedName name="Matrix_Level">#REF!</definedName>
    <definedName name="Mgr" localSheetId="0">[5]PBEDL!#REF!</definedName>
    <definedName name="Mgr" localSheetId="3">[5]PBEDL!#REF!</definedName>
    <definedName name="Mgr">[6]Data!#REF!</definedName>
    <definedName name="Number_of_FTE">#REF!</definedName>
    <definedName name="Per_Student">#REF!</definedName>
    <definedName name="PK___3">#REF!</definedName>
    <definedName name="PRACTICE" localSheetId="3" hidden="1">{#N/A,#N/A,FALSE,"Summation";#N/A,#N/A,FALSE,"BSA";#N/A,#N/A,FALSE,"Detail1";#N/A,#N/A,FALSE,"Detail2";#N/A,#N/A,FALSE,"Detail3";#N/A,#N/A,FALSE,"WFTE_Summary";#N/A,#N/A,FALSE,"Funded_WFTE";#N/A,#N/A,FALSE,"PYADJ96"}</definedName>
    <definedName name="PRACTICE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3" hidden="1">{#N/A,#N/A,FALSE,"Summation";#N/A,#N/A,FALSE,"BSA";#N/A,#N/A,FALSE,"Detail1";#N/A,#N/A,FALSE,"Detail2";#N/A,#N/A,FALSE,"Detail3";#N/A,#N/A,FALSE,"WFTE_Summary";#N/A,#N/A,FALSE,"Funded_WFTE";#N/A,#N/A,FALSE,"PYADJ96"}</definedName>
    <definedName name="PRACTOCE" hidden="1">{#N/A,#N/A,FALSE,"Summation";#N/A,#N/A,FALSE,"BSA";#N/A,#N/A,FALSE,"Detail1";#N/A,#N/A,FALSE,"Detail2";#N/A,#N/A,FALSE,"Detail3";#N/A,#N/A,FALSE,"WFTE_Summary";#N/A,#N/A,FALSE,"Funded_WFTE";#N/A,#N/A,FALSE,"PYADJ96"}</definedName>
    <definedName name="PRInf">'Revenue Input'!$O$66</definedName>
    <definedName name="print">'[7]Forecast WS'!$A$6:$R$142</definedName>
    <definedName name="_xlnm.Print_Area" localSheetId="3">'Expense Input'!$A$1:$Y$150</definedName>
    <definedName name="_xlnm.Print_Area" localSheetId="2">'Payroll Input'!$A$1:$S$166</definedName>
    <definedName name="_xlnm.Print_Titles" localSheetId="0">Budget!$1:$12</definedName>
    <definedName name="_xlnm.Print_Titles" localSheetId="3">'Expense Input'!$1:$9</definedName>
    <definedName name="_xlnm.Print_Titles" localSheetId="2">'Payroll Input'!$11:$13</definedName>
    <definedName name="Program">#REF!</definedName>
    <definedName name="Program______________________________Cost_Factor">#REF!</definedName>
    <definedName name="Proratioin_to_Veto">'[4] Detail 2015-16 Fourth FEFP'!#REF!</definedName>
    <definedName name="Proration_to_the_Appropriation">'[4] Detail 2015-16 Fourth FEFP'!#REF!</definedName>
    <definedName name="Revenue_Estimate_Worksheet_for___________Charter_School">#REF!</definedName>
    <definedName name="RevInf">#REF!</definedName>
    <definedName name="School_District">#REF!</definedName>
    <definedName name="Science_Lab_Materials_Allocation">'[4] Detail 2015-16 Fourth FEFP'!#REF!</definedName>
    <definedName name="Total">#REF!</definedName>
    <definedName name="Total_Class_Size_Reduction_Funds">#REF!</definedName>
    <definedName name="Total_from_ESE_Guarantee">#REF!</definedName>
    <definedName name="Total_FTE_with_ESE_Services">#REF!</definedName>
    <definedName name="Totals">#REF!</definedName>
    <definedName name="Weighted_FTE____________b__x__c">#REF!</definedName>
    <definedName name="Weighted_FTE__From_Section_1">#REF!</definedName>
    <definedName name="wrn.Base._.Data._.Comparison." localSheetId="3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hidden="1">{#N/A,#N/A,FALSE,"Summation";#N/A,#N/A,FALSE,"BSA";#N/A,#N/A,FALSE,"Detail1";#N/A,#N/A,FALSE,"Detail2";#N/A,#N/A,FALSE,"Detail3";#N/A,#N/A,FALSE,"WFTE_Summary";#N/A,#N/A,FALSE,"Funded_WFTE";#N/A,#N/A,FALSE,"PYADJ96"}</definedName>
    <definedName name="wrn.SecondCalc9798." localSheetId="3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53" i="8" l="1"/>
  <c r="I87" i="5" s="1"/>
  <c r="I85" i="5" s="1"/>
  <c r="P53" i="8"/>
  <c r="H87" i="5"/>
  <c r="H85" i="5" s="1"/>
  <c r="I191" i="5"/>
  <c r="H191" i="5"/>
  <c r="G158" i="5" l="1"/>
  <c r="W158" i="5"/>
  <c r="V158" i="5"/>
  <c r="U158" i="5"/>
  <c r="T158" i="5"/>
  <c r="S158" i="5"/>
  <c r="R158" i="5"/>
  <c r="Q158" i="5"/>
  <c r="P158" i="5"/>
  <c r="M158" i="5"/>
  <c r="J158" i="5"/>
  <c r="L158" i="5"/>
  <c r="I152" i="5"/>
  <c r="I154" i="5" s="1"/>
  <c r="F89" i="1"/>
  <c r="F88" i="1"/>
  <c r="X158" i="5" l="1"/>
  <c r="I202" i="5" l="1"/>
  <c r="I196" i="5"/>
  <c r="I193" i="5"/>
  <c r="I102" i="5"/>
  <c r="L72" i="1"/>
  <c r="F72" i="1"/>
  <c r="H72" i="1" s="1"/>
  <c r="K72" i="1" s="1"/>
  <c r="F65" i="1"/>
  <c r="F67" i="1"/>
  <c r="F68" i="1"/>
  <c r="F69" i="1"/>
  <c r="I93" i="5" l="1"/>
  <c r="I96" i="5"/>
  <c r="N72" i="1"/>
  <c r="I72" i="1"/>
  <c r="O72" i="1"/>
  <c r="P72" i="1" l="1"/>
  <c r="H90" i="5"/>
  <c r="H93" i="5" s="1"/>
  <c r="H202" i="5"/>
  <c r="H193" i="5"/>
  <c r="R54" i="6"/>
  <c r="F97" i="1"/>
  <c r="F93" i="1"/>
  <c r="L67" i="1"/>
  <c r="H67" i="1"/>
  <c r="K67" i="1" s="1"/>
  <c r="L97" i="1"/>
  <c r="L93" i="1"/>
  <c r="F66" i="1"/>
  <c r="N67" i="1" l="1"/>
  <c r="I67" i="1"/>
  <c r="O67" i="1"/>
  <c r="P67" i="1" s="1"/>
  <c r="Q67" i="1" s="1"/>
  <c r="L164" i="1" l="1"/>
  <c r="L163" i="1"/>
  <c r="L162" i="1"/>
  <c r="L161" i="1"/>
  <c r="L160" i="1"/>
  <c r="L158" i="1"/>
  <c r="L157" i="1"/>
  <c r="L153" i="1"/>
  <c r="L152" i="1"/>
  <c r="L151" i="1"/>
  <c r="L150" i="1"/>
  <c r="L149" i="1"/>
  <c r="L148" i="1"/>
  <c r="L146" i="1"/>
  <c r="L143" i="1"/>
  <c r="L142" i="1"/>
  <c r="L141" i="1"/>
  <c r="L140" i="1"/>
  <c r="L139" i="1"/>
  <c r="L138" i="1"/>
  <c r="L137" i="1"/>
  <c r="L134" i="1"/>
  <c r="L133" i="1"/>
  <c r="L132" i="1"/>
  <c r="L131" i="1"/>
  <c r="L130" i="1"/>
  <c r="L129" i="1"/>
  <c r="L126" i="1"/>
  <c r="L125" i="1"/>
  <c r="L124" i="1"/>
  <c r="L123" i="1"/>
  <c r="L122" i="1"/>
  <c r="L121" i="1"/>
  <c r="L116" i="1"/>
  <c r="L115" i="1"/>
  <c r="L114" i="1"/>
  <c r="L113" i="1"/>
  <c r="L112" i="1"/>
  <c r="L109" i="1"/>
  <c r="L108" i="1"/>
  <c r="L107" i="1"/>
  <c r="L103" i="1"/>
  <c r="L102" i="1"/>
  <c r="L96" i="1"/>
  <c r="L94" i="1"/>
  <c r="L89" i="1"/>
  <c r="L88" i="1"/>
  <c r="L86" i="1"/>
  <c r="L85" i="1"/>
  <c r="L80" i="1"/>
  <c r="L77" i="1"/>
  <c r="L71" i="1"/>
  <c r="L69" i="1"/>
  <c r="L68" i="1"/>
  <c r="L66" i="1"/>
  <c r="L65" i="1"/>
  <c r="L64" i="1"/>
  <c r="L63" i="1"/>
  <c r="L59" i="1"/>
  <c r="L58" i="1"/>
  <c r="L57" i="1"/>
  <c r="L52" i="1"/>
  <c r="L44" i="1"/>
  <c r="L43" i="1"/>
  <c r="L42" i="1"/>
  <c r="L41" i="1"/>
  <c r="L40" i="1"/>
  <c r="L39" i="1"/>
  <c r="L38" i="1"/>
  <c r="L37" i="1"/>
  <c r="L36" i="1"/>
  <c r="L35" i="1"/>
  <c r="L34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R6" i="1"/>
  <c r="R7" i="1" s="1"/>
  <c r="O246" i="5"/>
  <c r="P35" i="8"/>
  <c r="E71" i="1" l="1"/>
  <c r="F71" i="1" s="1"/>
  <c r="E63" i="1"/>
  <c r="F63" i="1" s="1"/>
  <c r="I242" i="5"/>
  <c r="H242" i="5"/>
  <c r="F242" i="5"/>
  <c r="E242" i="5"/>
  <c r="D242" i="5"/>
  <c r="C242" i="5"/>
  <c r="B242" i="5"/>
  <c r="T242" i="5" s="1"/>
  <c r="I58" i="5"/>
  <c r="H58" i="5"/>
  <c r="F58" i="5"/>
  <c r="E58" i="5"/>
  <c r="D58" i="5"/>
  <c r="C58" i="5"/>
  <c r="B58" i="5"/>
  <c r="T58" i="5" s="1"/>
  <c r="R131" i="6"/>
  <c r="R129" i="6"/>
  <c r="S129" i="6"/>
  <c r="S128" i="6"/>
  <c r="R128" i="6"/>
  <c r="S127" i="6"/>
  <c r="R127" i="6"/>
  <c r="S121" i="6"/>
  <c r="R121" i="6"/>
  <c r="S120" i="6"/>
  <c r="R120" i="6"/>
  <c r="R109" i="6"/>
  <c r="O58" i="6"/>
  <c r="R52" i="6"/>
  <c r="S45" i="6"/>
  <c r="R45" i="6"/>
  <c r="S41" i="6"/>
  <c r="R41" i="6"/>
  <c r="R25" i="6"/>
  <c r="S131" i="6"/>
  <c r="O50" i="8"/>
  <c r="R50" i="8" s="1"/>
  <c r="M50" i="8"/>
  <c r="Q39" i="8"/>
  <c r="O39" i="8" s="1"/>
  <c r="F152" i="1"/>
  <c r="F148" i="1"/>
  <c r="F141" i="1"/>
  <c r="F139" i="1"/>
  <c r="F134" i="1"/>
  <c r="F126" i="1"/>
  <c r="F125" i="1"/>
  <c r="F132" i="1"/>
  <c r="F124" i="1"/>
  <c r="F123" i="1"/>
  <c r="F131" i="1"/>
  <c r="F129" i="1"/>
  <c r="F121" i="1"/>
  <c r="F114" i="1"/>
  <c r="F113" i="1"/>
  <c r="F107" i="1"/>
  <c r="F102" i="1"/>
  <c r="F96" i="1"/>
  <c r="F94" i="1"/>
  <c r="F64" i="1"/>
  <c r="H32" i="1"/>
  <c r="O32" i="1" s="1"/>
  <c r="N32" i="1" l="1"/>
  <c r="K32" i="1"/>
  <c r="I32" i="1"/>
  <c r="G58" i="5"/>
  <c r="J58" i="5" s="1"/>
  <c r="Q242" i="5"/>
  <c r="L242" i="5"/>
  <c r="R242" i="5"/>
  <c r="V242" i="5"/>
  <c r="U242" i="5"/>
  <c r="S242" i="5"/>
  <c r="W242" i="5"/>
  <c r="X242" i="5" s="1"/>
  <c r="P242" i="5"/>
  <c r="Q58" i="5"/>
  <c r="U58" i="5"/>
  <c r="R58" i="5"/>
  <c r="V58" i="5"/>
  <c r="S58" i="5"/>
  <c r="W58" i="5"/>
  <c r="P58" i="5"/>
  <c r="Q131" i="6"/>
  <c r="Q58" i="6"/>
  <c r="G242" i="5" s="1"/>
  <c r="J242" i="5" s="1"/>
  <c r="W50" i="8"/>
  <c r="M242" i="5" l="1"/>
  <c r="X58" i="5"/>
  <c r="Y58" i="6"/>
  <c r="V58" i="6"/>
  <c r="T58" i="6"/>
  <c r="U58" i="6"/>
  <c r="S66" i="6" l="1"/>
  <c r="R66" i="6"/>
  <c r="S57" i="6"/>
  <c r="R57" i="6"/>
  <c r="R56" i="6"/>
  <c r="S55" i="6"/>
  <c r="R55" i="6"/>
  <c r="S52" i="6"/>
  <c r="S44" i="6"/>
  <c r="R44" i="6"/>
  <c r="R43" i="6"/>
  <c r="S19" i="6"/>
  <c r="Q26" i="6"/>
  <c r="V26" i="6" s="1"/>
  <c r="S25" i="6"/>
  <c r="S67" i="6"/>
  <c r="R67" i="6"/>
  <c r="R19" i="6"/>
  <c r="I123" i="5"/>
  <c r="B25" i="5"/>
  <c r="C25" i="5"/>
  <c r="D25" i="5"/>
  <c r="E25" i="5"/>
  <c r="F25" i="5"/>
  <c r="H25" i="5"/>
  <c r="I25" i="5"/>
  <c r="B26" i="5"/>
  <c r="Q26" i="5" s="1"/>
  <c r="C26" i="5"/>
  <c r="D26" i="5"/>
  <c r="E26" i="5"/>
  <c r="F26" i="5"/>
  <c r="H26" i="5"/>
  <c r="AA26" i="5" s="1"/>
  <c r="I26" i="5"/>
  <c r="AB26" i="5" s="1"/>
  <c r="AF26" i="5" s="1"/>
  <c r="AJ26" i="5" s="1"/>
  <c r="AN26" i="5" s="1"/>
  <c r="B27" i="5"/>
  <c r="T27" i="5" s="1"/>
  <c r="C27" i="5"/>
  <c r="D27" i="5"/>
  <c r="E27" i="5"/>
  <c r="F27" i="5"/>
  <c r="H27" i="5"/>
  <c r="B28" i="5"/>
  <c r="C28" i="5"/>
  <c r="D28" i="5"/>
  <c r="E28" i="5"/>
  <c r="F28" i="5"/>
  <c r="B29" i="5"/>
  <c r="C29" i="5"/>
  <c r="D29" i="5"/>
  <c r="E29" i="5"/>
  <c r="F29" i="5"/>
  <c r="H29" i="5"/>
  <c r="B30" i="5"/>
  <c r="C30" i="5"/>
  <c r="D30" i="5"/>
  <c r="E30" i="5"/>
  <c r="F30" i="5"/>
  <c r="B31" i="5"/>
  <c r="C31" i="5"/>
  <c r="D31" i="5"/>
  <c r="E31" i="5"/>
  <c r="F31" i="5"/>
  <c r="B32" i="5"/>
  <c r="C32" i="5"/>
  <c r="D32" i="5"/>
  <c r="E32" i="5"/>
  <c r="F32" i="5"/>
  <c r="H32" i="5"/>
  <c r="I32" i="5"/>
  <c r="B33" i="5"/>
  <c r="C33" i="5"/>
  <c r="D33" i="5"/>
  <c r="E33" i="5"/>
  <c r="F33" i="5"/>
  <c r="B34" i="5"/>
  <c r="C34" i="5"/>
  <c r="D34" i="5"/>
  <c r="E34" i="5"/>
  <c r="F34" i="5"/>
  <c r="B35" i="5"/>
  <c r="C35" i="5"/>
  <c r="D35" i="5"/>
  <c r="E35" i="5"/>
  <c r="F35" i="5"/>
  <c r="B36" i="5"/>
  <c r="C36" i="5"/>
  <c r="D36" i="5"/>
  <c r="E36" i="5"/>
  <c r="F36" i="5"/>
  <c r="B37" i="5"/>
  <c r="C37" i="5"/>
  <c r="D37" i="5"/>
  <c r="E37" i="5"/>
  <c r="F37" i="5"/>
  <c r="B38" i="5"/>
  <c r="C38" i="5"/>
  <c r="D38" i="5"/>
  <c r="E38" i="5"/>
  <c r="F38" i="5"/>
  <c r="B39" i="5"/>
  <c r="C39" i="5"/>
  <c r="D39" i="5"/>
  <c r="E39" i="5"/>
  <c r="F39" i="5"/>
  <c r="I39" i="5"/>
  <c r="B40" i="5"/>
  <c r="C40" i="5"/>
  <c r="D40" i="5"/>
  <c r="E40" i="5"/>
  <c r="F40" i="5"/>
  <c r="B41" i="5"/>
  <c r="C41" i="5"/>
  <c r="D41" i="5"/>
  <c r="E41" i="5"/>
  <c r="F41" i="5"/>
  <c r="B42" i="5"/>
  <c r="C42" i="5"/>
  <c r="D42" i="5"/>
  <c r="E42" i="5"/>
  <c r="F42" i="5"/>
  <c r="B43" i="5"/>
  <c r="C43" i="5"/>
  <c r="D43" i="5"/>
  <c r="E43" i="5"/>
  <c r="F43" i="5"/>
  <c r="I43" i="5"/>
  <c r="B44" i="5"/>
  <c r="C44" i="5"/>
  <c r="D44" i="5"/>
  <c r="E44" i="5"/>
  <c r="F44" i="5"/>
  <c r="B45" i="5"/>
  <c r="C45" i="5"/>
  <c r="D45" i="5"/>
  <c r="E45" i="5"/>
  <c r="F45" i="5"/>
  <c r="B46" i="5"/>
  <c r="C46" i="5"/>
  <c r="D46" i="5"/>
  <c r="E46" i="5"/>
  <c r="F46" i="5"/>
  <c r="H46" i="5"/>
  <c r="I46" i="5"/>
  <c r="B47" i="5"/>
  <c r="C47" i="5"/>
  <c r="D47" i="5"/>
  <c r="E47" i="5"/>
  <c r="F47" i="5"/>
  <c r="H47" i="5"/>
  <c r="I47" i="5"/>
  <c r="B48" i="5"/>
  <c r="C48" i="5"/>
  <c r="D48" i="5"/>
  <c r="E48" i="5"/>
  <c r="F48" i="5"/>
  <c r="H48" i="5"/>
  <c r="I48" i="5"/>
  <c r="B49" i="5"/>
  <c r="C49" i="5"/>
  <c r="D49" i="5"/>
  <c r="E49" i="5"/>
  <c r="F49" i="5"/>
  <c r="B50" i="5"/>
  <c r="C50" i="5"/>
  <c r="D50" i="5"/>
  <c r="E50" i="5"/>
  <c r="F50" i="5"/>
  <c r="B51" i="5"/>
  <c r="C51" i="5"/>
  <c r="D51" i="5"/>
  <c r="E51" i="5"/>
  <c r="F51" i="5"/>
  <c r="B52" i="5"/>
  <c r="C52" i="5"/>
  <c r="D52" i="5"/>
  <c r="E52" i="5"/>
  <c r="F52" i="5"/>
  <c r="B53" i="5"/>
  <c r="C53" i="5"/>
  <c r="D53" i="5"/>
  <c r="E53" i="5"/>
  <c r="F53" i="5"/>
  <c r="I53" i="5"/>
  <c r="B54" i="5"/>
  <c r="C54" i="5"/>
  <c r="D54" i="5"/>
  <c r="E54" i="5"/>
  <c r="F54" i="5"/>
  <c r="B55" i="5"/>
  <c r="C55" i="5"/>
  <c r="D55" i="5"/>
  <c r="E55" i="5"/>
  <c r="F55" i="5"/>
  <c r="I55" i="5"/>
  <c r="B56" i="5"/>
  <c r="C56" i="5"/>
  <c r="D56" i="5"/>
  <c r="E56" i="5"/>
  <c r="F56" i="5"/>
  <c r="I56" i="5"/>
  <c r="B57" i="5"/>
  <c r="C57" i="5"/>
  <c r="D57" i="5"/>
  <c r="E57" i="5"/>
  <c r="F57" i="5"/>
  <c r="H57" i="5"/>
  <c r="H463" i="5" s="1"/>
  <c r="I57" i="5"/>
  <c r="I463" i="5" s="1"/>
  <c r="B59" i="5"/>
  <c r="C59" i="5"/>
  <c r="D59" i="5"/>
  <c r="E59" i="5"/>
  <c r="F59" i="5"/>
  <c r="H59" i="5"/>
  <c r="I59" i="5"/>
  <c r="B60" i="5"/>
  <c r="C60" i="5"/>
  <c r="D60" i="5"/>
  <c r="E60" i="5"/>
  <c r="F60" i="5"/>
  <c r="H60" i="5"/>
  <c r="I60" i="5"/>
  <c r="B61" i="5"/>
  <c r="C61" i="5"/>
  <c r="D61" i="5"/>
  <c r="E61" i="5"/>
  <c r="F61" i="5"/>
  <c r="H61" i="5"/>
  <c r="I61" i="5"/>
  <c r="B62" i="5"/>
  <c r="C62" i="5"/>
  <c r="D62" i="5"/>
  <c r="E62" i="5"/>
  <c r="F62" i="5"/>
  <c r="H62" i="5"/>
  <c r="I62" i="5"/>
  <c r="B63" i="5"/>
  <c r="C63" i="5"/>
  <c r="D63" i="5"/>
  <c r="E63" i="5"/>
  <c r="F63" i="5"/>
  <c r="H63" i="5"/>
  <c r="I63" i="5"/>
  <c r="B64" i="5"/>
  <c r="C64" i="5"/>
  <c r="D64" i="5"/>
  <c r="E64" i="5"/>
  <c r="F64" i="5"/>
  <c r="H64" i="5"/>
  <c r="I64" i="5"/>
  <c r="B65" i="5"/>
  <c r="C65" i="5"/>
  <c r="D65" i="5"/>
  <c r="E65" i="5"/>
  <c r="F65" i="5"/>
  <c r="H65" i="5"/>
  <c r="I65" i="5"/>
  <c r="B66" i="5"/>
  <c r="C66" i="5"/>
  <c r="D66" i="5"/>
  <c r="E66" i="5"/>
  <c r="F66" i="5"/>
  <c r="B67" i="5"/>
  <c r="C67" i="5"/>
  <c r="D67" i="5"/>
  <c r="E67" i="5"/>
  <c r="F67" i="5"/>
  <c r="H67" i="5"/>
  <c r="I67" i="5"/>
  <c r="U26" i="5"/>
  <c r="T26" i="5"/>
  <c r="AA27" i="5"/>
  <c r="I323" i="5"/>
  <c r="AB323" i="5" s="1"/>
  <c r="AF323" i="5" s="1"/>
  <c r="AJ323" i="5" s="1"/>
  <c r="AN323" i="5" s="1"/>
  <c r="F323" i="5"/>
  <c r="E323" i="5"/>
  <c r="L323" i="5" s="1"/>
  <c r="D323" i="5"/>
  <c r="C323" i="5"/>
  <c r="B323" i="5"/>
  <c r="T323" i="5" s="1"/>
  <c r="B110" i="5"/>
  <c r="C110" i="5"/>
  <c r="D110" i="5"/>
  <c r="E110" i="5"/>
  <c r="F110" i="5"/>
  <c r="B111" i="5"/>
  <c r="C111" i="5"/>
  <c r="D111" i="5"/>
  <c r="E111" i="5"/>
  <c r="F111" i="5"/>
  <c r="B112" i="5"/>
  <c r="C112" i="5"/>
  <c r="D112" i="5"/>
  <c r="E112" i="5"/>
  <c r="F112" i="5"/>
  <c r="B113" i="5"/>
  <c r="C113" i="5"/>
  <c r="D113" i="5"/>
  <c r="E113" i="5"/>
  <c r="F113" i="5"/>
  <c r="B114" i="5"/>
  <c r="C114" i="5"/>
  <c r="D114" i="5"/>
  <c r="E114" i="5"/>
  <c r="F114" i="5"/>
  <c r="H114" i="5"/>
  <c r="I114" i="5"/>
  <c r="B115" i="5"/>
  <c r="C115" i="5"/>
  <c r="D115" i="5"/>
  <c r="E115" i="5"/>
  <c r="F115" i="5"/>
  <c r="B116" i="5"/>
  <c r="C116" i="5"/>
  <c r="D116" i="5"/>
  <c r="E116" i="5"/>
  <c r="F116" i="5"/>
  <c r="B117" i="5"/>
  <c r="C117" i="5"/>
  <c r="D117" i="5"/>
  <c r="E117" i="5"/>
  <c r="F117" i="5"/>
  <c r="I117" i="5"/>
  <c r="B118" i="5"/>
  <c r="C118" i="5"/>
  <c r="D118" i="5"/>
  <c r="E118" i="5"/>
  <c r="F118" i="5"/>
  <c r="B119" i="5"/>
  <c r="C119" i="5"/>
  <c r="D119" i="5"/>
  <c r="E119" i="5"/>
  <c r="F119" i="5"/>
  <c r="H119" i="5"/>
  <c r="B120" i="5"/>
  <c r="C120" i="5"/>
  <c r="D120" i="5"/>
  <c r="E120" i="5"/>
  <c r="F120" i="5"/>
  <c r="H120" i="5"/>
  <c r="I120" i="5"/>
  <c r="B121" i="5"/>
  <c r="C121" i="5"/>
  <c r="D121" i="5"/>
  <c r="E121" i="5"/>
  <c r="F121" i="5"/>
  <c r="H121" i="5"/>
  <c r="I121" i="5"/>
  <c r="B122" i="5"/>
  <c r="C122" i="5"/>
  <c r="D122" i="5"/>
  <c r="E122" i="5"/>
  <c r="F122" i="5"/>
  <c r="B123" i="5"/>
  <c r="C123" i="5"/>
  <c r="D123" i="5"/>
  <c r="E123" i="5"/>
  <c r="F123" i="5"/>
  <c r="B124" i="5"/>
  <c r="C124" i="5"/>
  <c r="D124" i="5"/>
  <c r="E124" i="5"/>
  <c r="F124" i="5"/>
  <c r="H124" i="5"/>
  <c r="I124" i="5"/>
  <c r="B125" i="5"/>
  <c r="C125" i="5"/>
  <c r="D125" i="5"/>
  <c r="E125" i="5"/>
  <c r="F125" i="5"/>
  <c r="H125" i="5"/>
  <c r="I125" i="5"/>
  <c r="B126" i="5"/>
  <c r="C126" i="5"/>
  <c r="D126" i="5"/>
  <c r="E126" i="5"/>
  <c r="F126" i="5"/>
  <c r="B127" i="5"/>
  <c r="C127" i="5"/>
  <c r="D127" i="5"/>
  <c r="E127" i="5"/>
  <c r="F127" i="5"/>
  <c r="B128" i="5"/>
  <c r="C128" i="5"/>
  <c r="D128" i="5"/>
  <c r="E128" i="5"/>
  <c r="F128" i="5"/>
  <c r="H128" i="5"/>
  <c r="I128" i="5"/>
  <c r="B129" i="5"/>
  <c r="C129" i="5"/>
  <c r="D129" i="5"/>
  <c r="E129" i="5"/>
  <c r="F129" i="5"/>
  <c r="H129" i="5"/>
  <c r="I129" i="5"/>
  <c r="B130" i="5"/>
  <c r="C130" i="5"/>
  <c r="D130" i="5"/>
  <c r="E130" i="5"/>
  <c r="F130" i="5"/>
  <c r="B131" i="5"/>
  <c r="C131" i="5"/>
  <c r="D131" i="5"/>
  <c r="E131" i="5"/>
  <c r="F131" i="5"/>
  <c r="H131" i="5"/>
  <c r="I131" i="5"/>
  <c r="B132" i="5"/>
  <c r="C132" i="5"/>
  <c r="D132" i="5"/>
  <c r="E132" i="5"/>
  <c r="F132" i="5"/>
  <c r="H132" i="5"/>
  <c r="I132" i="5"/>
  <c r="B133" i="5"/>
  <c r="C133" i="5"/>
  <c r="D133" i="5"/>
  <c r="E133" i="5"/>
  <c r="F133" i="5"/>
  <c r="H133" i="5"/>
  <c r="I133" i="5"/>
  <c r="B134" i="5"/>
  <c r="C134" i="5"/>
  <c r="D134" i="5"/>
  <c r="E134" i="5"/>
  <c r="F134" i="5"/>
  <c r="H134" i="5"/>
  <c r="I134" i="5"/>
  <c r="B135" i="5"/>
  <c r="C135" i="5"/>
  <c r="D135" i="5"/>
  <c r="E135" i="5"/>
  <c r="F135" i="5"/>
  <c r="H135" i="5"/>
  <c r="I135" i="5"/>
  <c r="B136" i="5"/>
  <c r="C136" i="5"/>
  <c r="D136" i="5"/>
  <c r="E136" i="5"/>
  <c r="F136" i="5"/>
  <c r="H136" i="5"/>
  <c r="I136" i="5"/>
  <c r="B137" i="5"/>
  <c r="C137" i="5"/>
  <c r="D137" i="5"/>
  <c r="E137" i="5"/>
  <c r="F137" i="5"/>
  <c r="H137" i="5"/>
  <c r="I137" i="5"/>
  <c r="B138" i="5"/>
  <c r="C138" i="5"/>
  <c r="D138" i="5"/>
  <c r="E138" i="5"/>
  <c r="F138" i="5"/>
  <c r="B139" i="5"/>
  <c r="C139" i="5"/>
  <c r="D139" i="5"/>
  <c r="E139" i="5"/>
  <c r="F139" i="5"/>
  <c r="H139" i="5"/>
  <c r="I139" i="5"/>
  <c r="B140" i="5"/>
  <c r="C140" i="5"/>
  <c r="D140" i="5"/>
  <c r="E140" i="5"/>
  <c r="F140" i="5"/>
  <c r="B141" i="5"/>
  <c r="C141" i="5"/>
  <c r="D141" i="5"/>
  <c r="E141" i="5"/>
  <c r="F141" i="5"/>
  <c r="C109" i="5"/>
  <c r="D109" i="5"/>
  <c r="E109" i="5"/>
  <c r="F109" i="5"/>
  <c r="H102" i="5"/>
  <c r="G90" i="5"/>
  <c r="Q124" i="6"/>
  <c r="T124" i="6" s="1"/>
  <c r="S104" i="6"/>
  <c r="Q19" i="6" l="1"/>
  <c r="V19" i="6" s="1"/>
  <c r="Q41" i="6"/>
  <c r="H123" i="5"/>
  <c r="Q25" i="6"/>
  <c r="V25" i="6" s="1"/>
  <c r="H138" i="5"/>
  <c r="Q67" i="6"/>
  <c r="T67" i="6" s="1"/>
  <c r="Z26" i="5"/>
  <c r="AE26" i="5"/>
  <c r="Q27" i="5"/>
  <c r="U27" i="5"/>
  <c r="R26" i="5"/>
  <c r="V26" i="5"/>
  <c r="S26" i="5"/>
  <c r="W26" i="5"/>
  <c r="X26" i="5" s="1"/>
  <c r="P26" i="5"/>
  <c r="AE27" i="5"/>
  <c r="R27" i="5"/>
  <c r="V27" i="5"/>
  <c r="S27" i="5"/>
  <c r="W27" i="5"/>
  <c r="P27" i="5"/>
  <c r="R323" i="5"/>
  <c r="V323" i="5"/>
  <c r="U323" i="5"/>
  <c r="S323" i="5"/>
  <c r="W323" i="5"/>
  <c r="Q323" i="5"/>
  <c r="P323" i="5"/>
  <c r="V124" i="6"/>
  <c r="Q125" i="6"/>
  <c r="U124" i="6"/>
  <c r="H323" i="5"/>
  <c r="AA323" i="5" s="1"/>
  <c r="AE323" i="5" s="1"/>
  <c r="O93" i="6"/>
  <c r="S51" i="6"/>
  <c r="Q51" i="6" s="1"/>
  <c r="V51" i="6" s="1"/>
  <c r="S50" i="6"/>
  <c r="Q50" i="6" s="1"/>
  <c r="S49" i="6"/>
  <c r="Q49" i="6" s="1"/>
  <c r="S48" i="6"/>
  <c r="Q48" i="6" s="1"/>
  <c r="I141" i="5"/>
  <c r="Q35" i="6"/>
  <c r="O35" i="6"/>
  <c r="Q23" i="6"/>
  <c r="G120" i="5" s="1"/>
  <c r="O23" i="6"/>
  <c r="Q42" i="6"/>
  <c r="G139" i="5" s="1"/>
  <c r="O42" i="6"/>
  <c r="G123" i="5"/>
  <c r="Q27" i="6"/>
  <c r="G124" i="5" s="1"/>
  <c r="O27" i="6"/>
  <c r="Q19" i="8"/>
  <c r="M53" i="8"/>
  <c r="O53" i="8"/>
  <c r="G61" i="5" s="1"/>
  <c r="P48" i="8"/>
  <c r="P47" i="8"/>
  <c r="H43" i="5"/>
  <c r="Q25" i="8"/>
  <c r="I33" i="5" s="1"/>
  <c r="O18" i="8"/>
  <c r="K18" i="8"/>
  <c r="M18" i="8" s="1"/>
  <c r="K26" i="8"/>
  <c r="M19" i="8"/>
  <c r="O38" i="8"/>
  <c r="M38" i="8"/>
  <c r="X27" i="5" l="1"/>
  <c r="O19" i="8"/>
  <c r="G27" i="5" s="1"/>
  <c r="J27" i="5" s="1"/>
  <c r="I27" i="5"/>
  <c r="AB27" i="5" s="1"/>
  <c r="R38" i="8"/>
  <c r="G46" i="5"/>
  <c r="O47" i="8"/>
  <c r="H55" i="5"/>
  <c r="R19" i="8"/>
  <c r="R18" i="8"/>
  <c r="G26" i="5"/>
  <c r="J26" i="5" s="1"/>
  <c r="O48" i="8"/>
  <c r="H56" i="5"/>
  <c r="U67" i="6"/>
  <c r="V67" i="6"/>
  <c r="Q45" i="6"/>
  <c r="Q93" i="6"/>
  <c r="T93" i="6" s="1"/>
  <c r="Z323" i="5"/>
  <c r="G138" i="5"/>
  <c r="I138" i="5"/>
  <c r="U35" i="6"/>
  <c r="G132" i="5"/>
  <c r="Q44" i="6"/>
  <c r="G141" i="5" s="1"/>
  <c r="H141" i="5"/>
  <c r="G323" i="5"/>
  <c r="J323" i="5" s="1"/>
  <c r="AI26" i="5"/>
  <c r="AD26" i="5"/>
  <c r="AI27" i="5"/>
  <c r="X323" i="5"/>
  <c r="AI323" i="5"/>
  <c r="AD323" i="5"/>
  <c r="T125" i="6"/>
  <c r="U125" i="6"/>
  <c r="V125" i="6"/>
  <c r="Q52" i="6"/>
  <c r="T52" i="6" s="1"/>
  <c r="T35" i="6"/>
  <c r="U51" i="6"/>
  <c r="T50" i="6"/>
  <c r="U50" i="6"/>
  <c r="U49" i="6"/>
  <c r="T49" i="6"/>
  <c r="T48" i="6"/>
  <c r="U48" i="6"/>
  <c r="T51" i="6"/>
  <c r="V49" i="6"/>
  <c r="V50" i="6"/>
  <c r="V48" i="6"/>
  <c r="Y35" i="6"/>
  <c r="Y23" i="6"/>
  <c r="T23" i="6"/>
  <c r="V35" i="6"/>
  <c r="U23" i="6"/>
  <c r="V23" i="6"/>
  <c r="Y42" i="6"/>
  <c r="V42" i="6"/>
  <c r="T42" i="6"/>
  <c r="U42" i="6"/>
  <c r="Y27" i="6"/>
  <c r="T27" i="6"/>
  <c r="U27" i="6"/>
  <c r="V27" i="6"/>
  <c r="W53" i="8"/>
  <c r="R53" i="8"/>
  <c r="W18" i="8"/>
  <c r="W38" i="8"/>
  <c r="W19" i="8" l="1"/>
  <c r="AF27" i="5"/>
  <c r="Z27" i="5"/>
  <c r="R47" i="8"/>
  <c r="G55" i="5"/>
  <c r="R48" i="8"/>
  <c r="G56" i="5"/>
  <c r="V93" i="6"/>
  <c r="Y93" i="6"/>
  <c r="U93" i="6"/>
  <c r="M323" i="5"/>
  <c r="AM26" i="5"/>
  <c r="AL26" i="5" s="1"/>
  <c r="AH26" i="5"/>
  <c r="AM27" i="5"/>
  <c r="AM323" i="5"/>
  <c r="AL323" i="5" s="1"/>
  <c r="AH323" i="5"/>
  <c r="V52" i="6"/>
  <c r="U52" i="6"/>
  <c r="AJ27" i="5" l="1"/>
  <c r="AD27" i="5"/>
  <c r="F58" i="1"/>
  <c r="AN27" i="5" l="1"/>
  <c r="AL27" i="5" s="1"/>
  <c r="AH27" i="5"/>
  <c r="G74" i="1"/>
  <c r="H59" i="1"/>
  <c r="O59" i="1" s="1"/>
  <c r="H143" i="1"/>
  <c r="K143" i="1" s="1"/>
  <c r="H127" i="1"/>
  <c r="K127" i="1" s="1"/>
  <c r="P111" i="1"/>
  <c r="H103" i="1"/>
  <c r="K103" i="1" s="1"/>
  <c r="P95" i="1"/>
  <c r="H86" i="1"/>
  <c r="O86" i="1" s="1"/>
  <c r="H85" i="1"/>
  <c r="O85" i="1" s="1"/>
  <c r="P79" i="1"/>
  <c r="P70" i="1"/>
  <c r="P73" i="1"/>
  <c r="H198" i="5" l="1"/>
  <c r="I127" i="1"/>
  <c r="I85" i="1"/>
  <c r="I86" i="1"/>
  <c r="K85" i="1"/>
  <c r="K86" i="1"/>
  <c r="I59" i="1"/>
  <c r="K59" i="1"/>
  <c r="N59" i="1"/>
  <c r="N143" i="1"/>
  <c r="I143" i="1"/>
  <c r="O143" i="1"/>
  <c r="N127" i="1"/>
  <c r="O127" i="1"/>
  <c r="N103" i="1"/>
  <c r="I103" i="1"/>
  <c r="O103" i="1"/>
  <c r="N86" i="1"/>
  <c r="N85" i="1"/>
  <c r="P59" i="1" l="1"/>
  <c r="P86" i="1"/>
  <c r="P85" i="1"/>
  <c r="P103" i="1"/>
  <c r="P127" i="1"/>
  <c r="P143" i="1"/>
  <c r="F54" i="1"/>
  <c r="F160" i="1"/>
  <c r="F162" i="1"/>
  <c r="F157" i="1"/>
  <c r="F158" i="1"/>
  <c r="H58" i="1"/>
  <c r="K58" i="1" s="1"/>
  <c r="H88" i="1"/>
  <c r="H66" i="1"/>
  <c r="H71" i="1"/>
  <c r="F137" i="1"/>
  <c r="F138" i="1"/>
  <c r="F140" i="1"/>
  <c r="F142" i="1"/>
  <c r="A58" i="1"/>
  <c r="I88" i="5"/>
  <c r="H57" i="1"/>
  <c r="H53" i="1"/>
  <c r="I53" i="1" s="1"/>
  <c r="A66" i="1"/>
  <c r="H54" i="1" l="1"/>
  <c r="K54" i="1" s="1"/>
  <c r="F60" i="1"/>
  <c r="K71" i="1"/>
  <c r="F74" i="1"/>
  <c r="F144" i="1"/>
  <c r="F165" i="1"/>
  <c r="N58" i="1"/>
  <c r="I58" i="1"/>
  <c r="O58" i="1"/>
  <c r="N71" i="1"/>
  <c r="I71" i="1"/>
  <c r="O71" i="1"/>
  <c r="I54" i="1"/>
  <c r="K53" i="1"/>
  <c r="O53" i="1"/>
  <c r="N53" i="1"/>
  <c r="N57" i="1"/>
  <c r="I57" i="1"/>
  <c r="O57" i="1"/>
  <c r="K57" i="1"/>
  <c r="O54" i="1"/>
  <c r="O66" i="1"/>
  <c r="I66" i="1"/>
  <c r="N66" i="1"/>
  <c r="K66" i="1"/>
  <c r="N54" i="1" l="1"/>
  <c r="P54" i="1"/>
  <c r="P71" i="1"/>
  <c r="Q71" i="1" s="1"/>
  <c r="P57" i="1"/>
  <c r="P66" i="1"/>
  <c r="Q66" i="1" s="1"/>
  <c r="P53" i="1"/>
  <c r="P58" i="1"/>
  <c r="Q58" i="1" s="1"/>
  <c r="N10" i="1"/>
  <c r="N9" i="1"/>
  <c r="N8" i="1"/>
  <c r="N7" i="1"/>
  <c r="N6" i="1"/>
  <c r="O88" i="1" l="1"/>
  <c r="H69" i="1"/>
  <c r="K69" i="1" s="1"/>
  <c r="H161" i="1"/>
  <c r="O161" i="1" s="1"/>
  <c r="I69" i="1" l="1"/>
  <c r="K88" i="1"/>
  <c r="K161" i="1"/>
  <c r="O69" i="1"/>
  <c r="N69" i="1"/>
  <c r="N88" i="1"/>
  <c r="I88" i="1"/>
  <c r="N161" i="1"/>
  <c r="I161" i="1"/>
  <c r="F130" i="1"/>
  <c r="F122" i="1"/>
  <c r="F133" i="1"/>
  <c r="E90" i="1"/>
  <c r="E99" i="1"/>
  <c r="E104" i="1"/>
  <c r="P69" i="1" l="1"/>
  <c r="Q69" i="1" s="1"/>
  <c r="P88" i="1"/>
  <c r="Q88" i="1" s="1"/>
  <c r="P161" i="1"/>
  <c r="Q161" i="1" s="1"/>
  <c r="E135" i="1"/>
  <c r="E118" i="1"/>
  <c r="Q78" i="8" l="1"/>
  <c r="Q79" i="8"/>
  <c r="Q71" i="8"/>
  <c r="Q121" i="6"/>
  <c r="Q80" i="8" l="1"/>
  <c r="Q127" i="6"/>
  <c r="Q58" i="8" l="1"/>
  <c r="I66" i="5" s="1"/>
  <c r="H152" i="1"/>
  <c r="O152" i="1" s="1"/>
  <c r="H148" i="1"/>
  <c r="O148" i="1" s="1"/>
  <c r="H139" i="1"/>
  <c r="H134" i="1"/>
  <c r="O134" i="1" s="1"/>
  <c r="H133" i="1"/>
  <c r="O133" i="1" s="1"/>
  <c r="H129" i="1"/>
  <c r="O129" i="1" s="1"/>
  <c r="H125" i="1"/>
  <c r="O125" i="1" s="1"/>
  <c r="H121" i="1"/>
  <c r="O121" i="1" s="1"/>
  <c r="H113" i="1"/>
  <c r="O113" i="1" s="1"/>
  <c r="H132" i="1"/>
  <c r="H124" i="1"/>
  <c r="H97" i="1" l="1"/>
  <c r="O97" i="1" s="1"/>
  <c r="H93" i="1"/>
  <c r="O93" i="1" s="1"/>
  <c r="H94" i="1"/>
  <c r="H189" i="5" l="1"/>
  <c r="M52" i="8" l="1"/>
  <c r="G162" i="5"/>
  <c r="AA152" i="5"/>
  <c r="H63" i="1"/>
  <c r="A63" i="1"/>
  <c r="L74" i="1"/>
  <c r="H89" i="1"/>
  <c r="W161" i="5"/>
  <c r="V161" i="5"/>
  <c r="U161" i="5"/>
  <c r="T161" i="5"/>
  <c r="S161" i="5"/>
  <c r="R161" i="5"/>
  <c r="Q161" i="5"/>
  <c r="P161" i="5"/>
  <c r="M161" i="5"/>
  <c r="W160" i="5"/>
  <c r="V160" i="5"/>
  <c r="U160" i="5"/>
  <c r="T160" i="5"/>
  <c r="R160" i="5"/>
  <c r="Q160" i="5"/>
  <c r="P160" i="5"/>
  <c r="M160" i="5"/>
  <c r="W156" i="5"/>
  <c r="V156" i="5"/>
  <c r="U156" i="5"/>
  <c r="T156" i="5"/>
  <c r="R156" i="5"/>
  <c r="Q156" i="5"/>
  <c r="P156" i="5"/>
  <c r="M156" i="5"/>
  <c r="W154" i="5"/>
  <c r="V154" i="5"/>
  <c r="U154" i="5"/>
  <c r="T154" i="5"/>
  <c r="R154" i="5"/>
  <c r="Q154" i="5"/>
  <c r="P154" i="5"/>
  <c r="M154" i="5"/>
  <c r="W152" i="5"/>
  <c r="V152" i="5"/>
  <c r="U152" i="5"/>
  <c r="T152" i="5"/>
  <c r="Q152" i="5"/>
  <c r="P152" i="5"/>
  <c r="M152" i="5"/>
  <c r="H196" i="5"/>
  <c r="X154" i="5" l="1"/>
  <c r="R152" i="5"/>
  <c r="K121" i="1"/>
  <c r="I121" i="1"/>
  <c r="N121" i="1"/>
  <c r="K63" i="1"/>
  <c r="I63" i="1"/>
  <c r="O63" i="1"/>
  <c r="N63" i="1"/>
  <c r="X161" i="5"/>
  <c r="X160" i="5"/>
  <c r="X156" i="5"/>
  <c r="X152" i="5"/>
  <c r="AE152" i="5"/>
  <c r="I89" i="5" l="1"/>
  <c r="P63" i="1"/>
  <c r="Q63" i="1" s="1"/>
  <c r="P121" i="1"/>
  <c r="Q121" i="1" s="1"/>
  <c r="AI152" i="5"/>
  <c r="AM152" i="5" l="1"/>
  <c r="R14" i="6" l="1"/>
  <c r="H111" i="5" s="1"/>
  <c r="G48" i="1" l="1"/>
  <c r="G82" i="1"/>
  <c r="G90" i="1"/>
  <c r="G99" i="1"/>
  <c r="G104" i="1"/>
  <c r="G118" i="1"/>
  <c r="G135" i="1"/>
  <c r="G144" i="1"/>
  <c r="G154" i="1"/>
  <c r="H117" i="1"/>
  <c r="H110" i="1"/>
  <c r="H112" i="1"/>
  <c r="I397" i="5" l="1"/>
  <c r="Q54" i="6"/>
  <c r="Q53" i="6"/>
  <c r="F412" i="5"/>
  <c r="E412" i="5"/>
  <c r="L412" i="5" s="1"/>
  <c r="D412" i="5"/>
  <c r="C412" i="5"/>
  <c r="B412" i="5"/>
  <c r="T412" i="5" s="1"/>
  <c r="B395" i="5"/>
  <c r="C395" i="5"/>
  <c r="D395" i="5"/>
  <c r="E395" i="5"/>
  <c r="F395" i="5"/>
  <c r="H395" i="5"/>
  <c r="I395" i="5"/>
  <c r="B396" i="5"/>
  <c r="C396" i="5"/>
  <c r="D396" i="5"/>
  <c r="E396" i="5"/>
  <c r="F396" i="5"/>
  <c r="B397" i="5"/>
  <c r="C397" i="5"/>
  <c r="D397" i="5"/>
  <c r="E397" i="5"/>
  <c r="F397" i="5"/>
  <c r="B398" i="5"/>
  <c r="C398" i="5"/>
  <c r="D398" i="5"/>
  <c r="E398" i="5"/>
  <c r="F398" i="5"/>
  <c r="I398" i="5"/>
  <c r="B399" i="5"/>
  <c r="C399" i="5"/>
  <c r="D399" i="5"/>
  <c r="E399" i="5"/>
  <c r="F399" i="5"/>
  <c r="B400" i="5"/>
  <c r="C400" i="5"/>
  <c r="D400" i="5"/>
  <c r="E400" i="5"/>
  <c r="F400" i="5"/>
  <c r="B401" i="5"/>
  <c r="C401" i="5"/>
  <c r="D401" i="5"/>
  <c r="E401" i="5"/>
  <c r="F401" i="5"/>
  <c r="H401" i="5"/>
  <c r="B402" i="5"/>
  <c r="C402" i="5"/>
  <c r="D402" i="5"/>
  <c r="E402" i="5"/>
  <c r="F402" i="5"/>
  <c r="B403" i="5"/>
  <c r="C403" i="5"/>
  <c r="D403" i="5"/>
  <c r="E403" i="5"/>
  <c r="F403" i="5"/>
  <c r="B404" i="5"/>
  <c r="C404" i="5"/>
  <c r="D404" i="5"/>
  <c r="E404" i="5"/>
  <c r="F404" i="5"/>
  <c r="B405" i="5"/>
  <c r="C405" i="5"/>
  <c r="D405" i="5"/>
  <c r="E405" i="5"/>
  <c r="F405" i="5"/>
  <c r="B406" i="5"/>
  <c r="C406" i="5"/>
  <c r="D406" i="5"/>
  <c r="E406" i="5"/>
  <c r="F406" i="5"/>
  <c r="B407" i="5"/>
  <c r="C407" i="5"/>
  <c r="D407" i="5"/>
  <c r="E407" i="5"/>
  <c r="F407" i="5"/>
  <c r="B408" i="5"/>
  <c r="C408" i="5"/>
  <c r="D408" i="5"/>
  <c r="E408" i="5"/>
  <c r="F408" i="5"/>
  <c r="H408" i="5"/>
  <c r="I408" i="5"/>
  <c r="B409" i="5"/>
  <c r="C409" i="5"/>
  <c r="D409" i="5"/>
  <c r="E409" i="5"/>
  <c r="F409" i="5"/>
  <c r="B410" i="5"/>
  <c r="C410" i="5"/>
  <c r="D410" i="5"/>
  <c r="E410" i="5"/>
  <c r="F410" i="5"/>
  <c r="B411" i="5"/>
  <c r="C411" i="5"/>
  <c r="D411" i="5"/>
  <c r="E411" i="5"/>
  <c r="F411" i="5"/>
  <c r="B348" i="5"/>
  <c r="C348" i="5"/>
  <c r="D348" i="5"/>
  <c r="E348" i="5"/>
  <c r="F348" i="5"/>
  <c r="B349" i="5"/>
  <c r="C349" i="5"/>
  <c r="D349" i="5"/>
  <c r="E349" i="5"/>
  <c r="F349" i="5"/>
  <c r="B350" i="5"/>
  <c r="C350" i="5"/>
  <c r="D350" i="5"/>
  <c r="E350" i="5"/>
  <c r="F350" i="5"/>
  <c r="B351" i="5"/>
  <c r="C351" i="5"/>
  <c r="D351" i="5"/>
  <c r="E351" i="5"/>
  <c r="F351" i="5"/>
  <c r="B352" i="5"/>
  <c r="C352" i="5"/>
  <c r="D352" i="5"/>
  <c r="E352" i="5"/>
  <c r="F352" i="5"/>
  <c r="B353" i="5"/>
  <c r="C353" i="5"/>
  <c r="D353" i="5"/>
  <c r="E353" i="5"/>
  <c r="F353" i="5"/>
  <c r="B354" i="5"/>
  <c r="C354" i="5"/>
  <c r="D354" i="5"/>
  <c r="E354" i="5"/>
  <c r="F354" i="5"/>
  <c r="B355" i="5"/>
  <c r="C355" i="5"/>
  <c r="D355" i="5"/>
  <c r="E355" i="5"/>
  <c r="F355" i="5"/>
  <c r="B356" i="5"/>
  <c r="C356" i="5"/>
  <c r="D356" i="5"/>
  <c r="E356" i="5"/>
  <c r="F356" i="5"/>
  <c r="H356" i="5"/>
  <c r="I356" i="5"/>
  <c r="B357" i="5"/>
  <c r="C357" i="5"/>
  <c r="D357" i="5"/>
  <c r="E357" i="5"/>
  <c r="F357" i="5"/>
  <c r="H357" i="5"/>
  <c r="B358" i="5"/>
  <c r="C358" i="5"/>
  <c r="D358" i="5"/>
  <c r="E358" i="5"/>
  <c r="F358" i="5"/>
  <c r="H358" i="5"/>
  <c r="I358" i="5"/>
  <c r="B359" i="5"/>
  <c r="C359" i="5"/>
  <c r="D359" i="5"/>
  <c r="E359" i="5"/>
  <c r="F359" i="5"/>
  <c r="I359" i="5"/>
  <c r="B360" i="5"/>
  <c r="C360" i="5"/>
  <c r="D360" i="5"/>
  <c r="E360" i="5"/>
  <c r="F360" i="5"/>
  <c r="B361" i="5"/>
  <c r="C361" i="5"/>
  <c r="D361" i="5"/>
  <c r="E361" i="5"/>
  <c r="F361" i="5"/>
  <c r="B362" i="5"/>
  <c r="C362" i="5"/>
  <c r="D362" i="5"/>
  <c r="E362" i="5"/>
  <c r="F362" i="5"/>
  <c r="B363" i="5"/>
  <c r="C363" i="5"/>
  <c r="D363" i="5"/>
  <c r="E363" i="5"/>
  <c r="F363" i="5"/>
  <c r="B364" i="5"/>
  <c r="C364" i="5"/>
  <c r="D364" i="5"/>
  <c r="E364" i="5"/>
  <c r="F364" i="5"/>
  <c r="B324" i="5"/>
  <c r="C324" i="5"/>
  <c r="D324" i="5"/>
  <c r="E324" i="5"/>
  <c r="F324" i="5"/>
  <c r="B325" i="5"/>
  <c r="C325" i="5"/>
  <c r="D325" i="5"/>
  <c r="E325" i="5"/>
  <c r="F325" i="5"/>
  <c r="H325" i="5"/>
  <c r="I325" i="5"/>
  <c r="B326" i="5"/>
  <c r="C326" i="5"/>
  <c r="D326" i="5"/>
  <c r="E326" i="5"/>
  <c r="F326" i="5"/>
  <c r="H326" i="5"/>
  <c r="I326" i="5"/>
  <c r="B300" i="5"/>
  <c r="C300" i="5"/>
  <c r="D300" i="5"/>
  <c r="E300" i="5"/>
  <c r="F300" i="5"/>
  <c r="B301" i="5"/>
  <c r="C301" i="5"/>
  <c r="D301" i="5"/>
  <c r="E301" i="5"/>
  <c r="F301" i="5"/>
  <c r="B302" i="5"/>
  <c r="C302" i="5"/>
  <c r="D302" i="5"/>
  <c r="E302" i="5"/>
  <c r="F302" i="5"/>
  <c r="B303" i="5"/>
  <c r="C303" i="5"/>
  <c r="D303" i="5"/>
  <c r="E303" i="5"/>
  <c r="F303" i="5"/>
  <c r="H303" i="5"/>
  <c r="I303" i="5"/>
  <c r="B304" i="5"/>
  <c r="C304" i="5"/>
  <c r="D304" i="5"/>
  <c r="E304" i="5"/>
  <c r="F304" i="5"/>
  <c r="B305" i="5"/>
  <c r="C305" i="5"/>
  <c r="D305" i="5"/>
  <c r="E305" i="5"/>
  <c r="F305" i="5"/>
  <c r="B306" i="5"/>
  <c r="C306" i="5"/>
  <c r="D306" i="5"/>
  <c r="E306" i="5"/>
  <c r="F306" i="5"/>
  <c r="H306" i="5"/>
  <c r="I306" i="5"/>
  <c r="B307" i="5"/>
  <c r="C307" i="5"/>
  <c r="D307" i="5"/>
  <c r="E307" i="5"/>
  <c r="F307" i="5"/>
  <c r="B308" i="5"/>
  <c r="C308" i="5"/>
  <c r="D308" i="5"/>
  <c r="E308" i="5"/>
  <c r="F308" i="5"/>
  <c r="H308" i="5"/>
  <c r="I308" i="5"/>
  <c r="B309" i="5"/>
  <c r="C309" i="5"/>
  <c r="D309" i="5"/>
  <c r="E309" i="5"/>
  <c r="F309" i="5"/>
  <c r="B310" i="5"/>
  <c r="C310" i="5"/>
  <c r="D310" i="5"/>
  <c r="E310" i="5"/>
  <c r="F310" i="5"/>
  <c r="B311" i="5"/>
  <c r="C311" i="5"/>
  <c r="D311" i="5"/>
  <c r="E311" i="5"/>
  <c r="F311" i="5"/>
  <c r="H311" i="5"/>
  <c r="I311" i="5"/>
  <c r="B312" i="5"/>
  <c r="C312" i="5"/>
  <c r="D312" i="5"/>
  <c r="E312" i="5"/>
  <c r="F312" i="5"/>
  <c r="B313" i="5"/>
  <c r="C313" i="5"/>
  <c r="D313" i="5"/>
  <c r="E313" i="5"/>
  <c r="F313" i="5"/>
  <c r="B314" i="5"/>
  <c r="C314" i="5"/>
  <c r="D314" i="5"/>
  <c r="E314" i="5"/>
  <c r="F314" i="5"/>
  <c r="B315" i="5"/>
  <c r="C315" i="5"/>
  <c r="D315" i="5"/>
  <c r="E315" i="5"/>
  <c r="F315" i="5"/>
  <c r="B264" i="5"/>
  <c r="C264" i="5"/>
  <c r="D264" i="5"/>
  <c r="E264" i="5"/>
  <c r="F264" i="5"/>
  <c r="H264" i="5"/>
  <c r="I264" i="5"/>
  <c r="B265" i="5"/>
  <c r="C265" i="5"/>
  <c r="D265" i="5"/>
  <c r="E265" i="5"/>
  <c r="F265" i="5"/>
  <c r="B266" i="5"/>
  <c r="C266" i="5"/>
  <c r="D266" i="5"/>
  <c r="E266" i="5"/>
  <c r="F266" i="5"/>
  <c r="B267" i="5"/>
  <c r="C267" i="5"/>
  <c r="D267" i="5"/>
  <c r="E267" i="5"/>
  <c r="F267" i="5"/>
  <c r="B268" i="5"/>
  <c r="C268" i="5"/>
  <c r="D268" i="5"/>
  <c r="E268" i="5"/>
  <c r="F268" i="5"/>
  <c r="B269" i="5"/>
  <c r="C269" i="5"/>
  <c r="D269" i="5"/>
  <c r="E269" i="5"/>
  <c r="F269" i="5"/>
  <c r="B270" i="5"/>
  <c r="C270" i="5"/>
  <c r="D270" i="5"/>
  <c r="E270" i="5"/>
  <c r="F270" i="5"/>
  <c r="B271" i="5"/>
  <c r="C271" i="5"/>
  <c r="D271" i="5"/>
  <c r="E271" i="5"/>
  <c r="F271" i="5"/>
  <c r="B257" i="5"/>
  <c r="T257" i="5" s="1"/>
  <c r="C257" i="5"/>
  <c r="D257" i="5"/>
  <c r="E257" i="5"/>
  <c r="F257" i="5"/>
  <c r="B258" i="5"/>
  <c r="T258" i="5" s="1"/>
  <c r="C258" i="5"/>
  <c r="D258" i="5"/>
  <c r="E258" i="5"/>
  <c r="L258" i="5" s="1"/>
  <c r="F258" i="5"/>
  <c r="H258" i="5"/>
  <c r="I258" i="5"/>
  <c r="B259" i="5"/>
  <c r="C259" i="5"/>
  <c r="D259" i="5"/>
  <c r="E259" i="5"/>
  <c r="F259" i="5"/>
  <c r="H259" i="5"/>
  <c r="I259" i="5"/>
  <c r="B256" i="5"/>
  <c r="C256" i="5"/>
  <c r="D256" i="5"/>
  <c r="E256" i="5"/>
  <c r="F256" i="5"/>
  <c r="H256" i="5"/>
  <c r="I256" i="5"/>
  <c r="B243" i="5"/>
  <c r="C243" i="5"/>
  <c r="D243" i="5"/>
  <c r="E243" i="5"/>
  <c r="F243" i="5"/>
  <c r="H243" i="5"/>
  <c r="I243" i="5"/>
  <c r="B244" i="5"/>
  <c r="C244" i="5"/>
  <c r="D244" i="5"/>
  <c r="E244" i="5"/>
  <c r="F244" i="5"/>
  <c r="B181" i="5"/>
  <c r="C181" i="5"/>
  <c r="D181" i="5"/>
  <c r="E181" i="5"/>
  <c r="F181" i="5"/>
  <c r="B182" i="5"/>
  <c r="C182" i="5"/>
  <c r="D182" i="5"/>
  <c r="E182" i="5"/>
  <c r="F182" i="5"/>
  <c r="B183" i="5"/>
  <c r="C183" i="5"/>
  <c r="D183" i="5"/>
  <c r="E183" i="5"/>
  <c r="F183" i="5"/>
  <c r="B184" i="5"/>
  <c r="C184" i="5"/>
  <c r="D184" i="5"/>
  <c r="E184" i="5"/>
  <c r="F184" i="5"/>
  <c r="H184" i="5"/>
  <c r="G287" i="5"/>
  <c r="G284" i="5"/>
  <c r="G282" i="5"/>
  <c r="G190" i="5"/>
  <c r="H68" i="1"/>
  <c r="R412" i="5" l="1"/>
  <c r="V412" i="5"/>
  <c r="G325" i="5"/>
  <c r="S412" i="5"/>
  <c r="W412" i="5"/>
  <c r="Q412" i="5"/>
  <c r="U412" i="5"/>
  <c r="G326" i="5"/>
  <c r="P412" i="5"/>
  <c r="Q258" i="5"/>
  <c r="V258" i="5"/>
  <c r="S258" i="5"/>
  <c r="W258" i="5"/>
  <c r="U258" i="5"/>
  <c r="R258" i="5"/>
  <c r="P258" i="5"/>
  <c r="L257" i="5"/>
  <c r="R257" i="5"/>
  <c r="V257" i="5"/>
  <c r="Q257" i="5"/>
  <c r="U257" i="5"/>
  <c r="S257" i="5"/>
  <c r="W257" i="5"/>
  <c r="P257" i="5"/>
  <c r="K68" i="1"/>
  <c r="I68" i="1"/>
  <c r="O68" i="1"/>
  <c r="N68" i="1"/>
  <c r="P68" i="1" l="1"/>
  <c r="Q68" i="1" s="1"/>
  <c r="X412" i="5"/>
  <c r="X258" i="5"/>
  <c r="X257" i="5"/>
  <c r="H151" i="5" l="1"/>
  <c r="F90" i="1"/>
  <c r="H52" i="1"/>
  <c r="H164" i="1"/>
  <c r="H157" i="1"/>
  <c r="O157" i="1" s="1"/>
  <c r="H158" i="1"/>
  <c r="H159" i="1"/>
  <c r="H160" i="1"/>
  <c r="H162" i="1"/>
  <c r="H163" i="1"/>
  <c r="H123" i="1"/>
  <c r="O123" i="1" s="1"/>
  <c r="H130" i="1"/>
  <c r="O130" i="1" s="1"/>
  <c r="H131" i="1"/>
  <c r="O131" i="1" s="1"/>
  <c r="F82" i="1"/>
  <c r="H42" i="1"/>
  <c r="N42" i="1" s="1"/>
  <c r="H88" i="5" l="1"/>
  <c r="H60" i="1"/>
  <c r="H44" i="1"/>
  <c r="F48" i="1"/>
  <c r="G165" i="1"/>
  <c r="H90" i="1"/>
  <c r="I129" i="1"/>
  <c r="K129" i="1"/>
  <c r="N129" i="1"/>
  <c r="I42" i="1"/>
  <c r="O42" i="1"/>
  <c r="K42" i="1"/>
  <c r="O44" i="1" l="1"/>
  <c r="I44" i="1"/>
  <c r="N44" i="1"/>
  <c r="K44" i="1"/>
  <c r="K89" i="1"/>
  <c r="O89" i="1"/>
  <c r="N89" i="1"/>
  <c r="I89" i="1"/>
  <c r="P129" i="1"/>
  <c r="Q129" i="1" s="1"/>
  <c r="P42" i="1"/>
  <c r="Q42" i="1" s="1"/>
  <c r="S152" i="5" l="1"/>
  <c r="I160" i="5"/>
  <c r="I151" i="5"/>
  <c r="G152" i="5"/>
  <c r="I156" i="5"/>
  <c r="AB152" i="5"/>
  <c r="P44" i="1"/>
  <c r="P89" i="1"/>
  <c r="Q89" i="1" s="1"/>
  <c r="W295" i="5"/>
  <c r="V295" i="5"/>
  <c r="R295" i="5"/>
  <c r="Q295" i="5"/>
  <c r="P295" i="5"/>
  <c r="M295" i="5"/>
  <c r="T295" i="5"/>
  <c r="W292" i="5"/>
  <c r="V292" i="5"/>
  <c r="U292" i="5"/>
  <c r="T292" i="5"/>
  <c r="S292" i="5"/>
  <c r="R292" i="5"/>
  <c r="Q292" i="5"/>
  <c r="P292" i="5"/>
  <c r="M292" i="5"/>
  <c r="G292" i="5"/>
  <c r="L292" i="5" s="1"/>
  <c r="W289" i="5"/>
  <c r="V289" i="5"/>
  <c r="U289" i="5"/>
  <c r="R289" i="5"/>
  <c r="Q289" i="5"/>
  <c r="P289" i="5"/>
  <c r="M289" i="5"/>
  <c r="T289" i="5"/>
  <c r="W286" i="5"/>
  <c r="V286" i="5"/>
  <c r="T286" i="5"/>
  <c r="R286" i="5"/>
  <c r="Q286" i="5"/>
  <c r="P286" i="5"/>
  <c r="M286" i="5"/>
  <c r="W282" i="5"/>
  <c r="V282" i="5"/>
  <c r="U282" i="5"/>
  <c r="T282" i="5"/>
  <c r="S282" i="5"/>
  <c r="R282" i="5"/>
  <c r="Q282" i="5"/>
  <c r="P282" i="5"/>
  <c r="M282" i="5"/>
  <c r="L282" i="5"/>
  <c r="G154" i="5" l="1"/>
  <c r="S154" i="5"/>
  <c r="AF152" i="5"/>
  <c r="Z152" i="5"/>
  <c r="S156" i="5"/>
  <c r="G156" i="5"/>
  <c r="S160" i="5"/>
  <c r="G160" i="5"/>
  <c r="L152" i="5"/>
  <c r="J152" i="5"/>
  <c r="G151" i="5"/>
  <c r="X286" i="5"/>
  <c r="X295" i="5"/>
  <c r="J292" i="5"/>
  <c r="X292" i="5"/>
  <c r="X289" i="5"/>
  <c r="J282" i="5"/>
  <c r="X282" i="5"/>
  <c r="L156" i="5" l="1"/>
  <c r="J156" i="5"/>
  <c r="AJ152" i="5"/>
  <c r="AD152" i="5"/>
  <c r="L160" i="5"/>
  <c r="J160" i="5"/>
  <c r="L154" i="5"/>
  <c r="J154" i="5"/>
  <c r="I401" i="5"/>
  <c r="I310" i="5"/>
  <c r="H310" i="5"/>
  <c r="I309" i="5"/>
  <c r="H309" i="5"/>
  <c r="S63" i="6"/>
  <c r="I257" i="5" s="1"/>
  <c r="R63" i="6"/>
  <c r="H257" i="5" s="1"/>
  <c r="S60" i="6"/>
  <c r="I244" i="5" s="1"/>
  <c r="R60" i="6"/>
  <c r="H244" i="5" s="1"/>
  <c r="S56" i="6"/>
  <c r="S47" i="6"/>
  <c r="I181" i="5"/>
  <c r="H182" i="5"/>
  <c r="H183" i="5"/>
  <c r="I183" i="5"/>
  <c r="S46" i="6"/>
  <c r="R46" i="6"/>
  <c r="S43" i="6"/>
  <c r="I140" i="5" s="1"/>
  <c r="H140" i="5"/>
  <c r="R29" i="6"/>
  <c r="H126" i="5" s="1"/>
  <c r="I122" i="5"/>
  <c r="H122" i="5"/>
  <c r="I116" i="5"/>
  <c r="H116" i="5"/>
  <c r="S18" i="6"/>
  <c r="I115" i="5" s="1"/>
  <c r="R18" i="6"/>
  <c r="H115" i="5" s="1"/>
  <c r="R15" i="6"/>
  <c r="H112" i="5" s="1"/>
  <c r="S15" i="6"/>
  <c r="I112" i="5" s="1"/>
  <c r="R16" i="6"/>
  <c r="H113" i="5" s="1"/>
  <c r="S16" i="6"/>
  <c r="I113" i="5" s="1"/>
  <c r="Q43" i="6" l="1"/>
  <c r="G140" i="5" s="1"/>
  <c r="Q46" i="6"/>
  <c r="V46" i="6" s="1"/>
  <c r="AN152" i="5"/>
  <c r="AL152" i="5" s="1"/>
  <c r="AH152" i="5"/>
  <c r="G181" i="5"/>
  <c r="H181" i="5"/>
  <c r="G182" i="5"/>
  <c r="I182" i="5"/>
  <c r="Q47" i="6"/>
  <c r="V47" i="6" s="1"/>
  <c r="Q86" i="6"/>
  <c r="Q85" i="6"/>
  <c r="G309" i="5" s="1"/>
  <c r="Q63" i="6"/>
  <c r="G183" i="5"/>
  <c r="O122" i="6"/>
  <c r="Q82" i="6"/>
  <c r="O82" i="6"/>
  <c r="Q64" i="6"/>
  <c r="G258" i="5" s="1"/>
  <c r="O64" i="6"/>
  <c r="O65" i="6"/>
  <c r="O59" i="6"/>
  <c r="Q39" i="6"/>
  <c r="G136" i="5" s="1"/>
  <c r="O39" i="6"/>
  <c r="B20" i="5"/>
  <c r="C20" i="5"/>
  <c r="D20" i="5"/>
  <c r="E20" i="5"/>
  <c r="F20" i="5"/>
  <c r="B21" i="5"/>
  <c r="C21" i="5"/>
  <c r="D21" i="5"/>
  <c r="E21" i="5"/>
  <c r="F21" i="5"/>
  <c r="I21" i="5"/>
  <c r="B22" i="5"/>
  <c r="C22" i="5"/>
  <c r="D22" i="5"/>
  <c r="E22" i="5"/>
  <c r="F22" i="5"/>
  <c r="I22" i="5"/>
  <c r="B23" i="5"/>
  <c r="C23" i="5"/>
  <c r="D23" i="5"/>
  <c r="E23" i="5"/>
  <c r="F23" i="5"/>
  <c r="B24" i="5"/>
  <c r="C24" i="5"/>
  <c r="D24" i="5"/>
  <c r="E24" i="5"/>
  <c r="F24" i="5"/>
  <c r="P37" i="8"/>
  <c r="H45" i="5" s="1"/>
  <c r="Q26" i="8"/>
  <c r="I34" i="5" s="1"/>
  <c r="P26" i="8"/>
  <c r="H34" i="5" s="1"/>
  <c r="P25" i="8"/>
  <c r="H33" i="5" s="1"/>
  <c r="Q23" i="8"/>
  <c r="I31" i="5" s="1"/>
  <c r="P23" i="8"/>
  <c r="H31" i="5" s="1"/>
  <c r="Q22" i="8"/>
  <c r="I30" i="5" s="1"/>
  <c r="P22" i="8"/>
  <c r="H30" i="5" s="1"/>
  <c r="Q20" i="8"/>
  <c r="I28" i="5" s="1"/>
  <c r="P20" i="8"/>
  <c r="H28" i="5" s="1"/>
  <c r="Q15" i="8"/>
  <c r="I23" i="5" s="1"/>
  <c r="P15" i="8"/>
  <c r="H23" i="5" s="1"/>
  <c r="I61" i="8"/>
  <c r="K61" i="8"/>
  <c r="M12" i="8"/>
  <c r="M13" i="8"/>
  <c r="M14" i="8"/>
  <c r="M15" i="8"/>
  <c r="M16" i="8"/>
  <c r="M17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9" i="8"/>
  <c r="M40" i="8"/>
  <c r="M41" i="8"/>
  <c r="M42" i="8"/>
  <c r="M43" i="8"/>
  <c r="M44" i="8"/>
  <c r="M45" i="8"/>
  <c r="M46" i="8"/>
  <c r="M47" i="8"/>
  <c r="M48" i="8"/>
  <c r="M49" i="8"/>
  <c r="M51" i="8"/>
  <c r="M54" i="8"/>
  <c r="M55" i="8"/>
  <c r="M56" i="8"/>
  <c r="M57" i="8"/>
  <c r="M58" i="8"/>
  <c r="M59" i="8"/>
  <c r="M11" i="8"/>
  <c r="P45" i="8"/>
  <c r="H53" i="5" s="1"/>
  <c r="O57" i="8"/>
  <c r="G65" i="5" s="1"/>
  <c r="O56" i="8"/>
  <c r="G64" i="5" s="1"/>
  <c r="O54" i="8"/>
  <c r="G62" i="5" s="1"/>
  <c r="U46" i="6" l="1"/>
  <c r="T46" i="6"/>
  <c r="O25" i="8"/>
  <c r="G33" i="5" s="1"/>
  <c r="R56" i="8"/>
  <c r="R57" i="8"/>
  <c r="T47" i="6"/>
  <c r="U47" i="6"/>
  <c r="O23" i="8"/>
  <c r="M61" i="8"/>
  <c r="O26" i="8"/>
  <c r="J258" i="5"/>
  <c r="M258" i="5"/>
  <c r="V39" i="6"/>
  <c r="Y82" i="6"/>
  <c r="G306" i="5"/>
  <c r="T44" i="6"/>
  <c r="T63" i="6"/>
  <c r="G257" i="5"/>
  <c r="T86" i="6"/>
  <c r="G310" i="5"/>
  <c r="O22" i="8"/>
  <c r="G30" i="5" s="1"/>
  <c r="O20" i="8"/>
  <c r="G28" i="5" s="1"/>
  <c r="V86" i="6"/>
  <c r="U86" i="6"/>
  <c r="U85" i="6"/>
  <c r="T85" i="6"/>
  <c r="V85" i="6"/>
  <c r="V63" i="6"/>
  <c r="U63" i="6"/>
  <c r="V44" i="6"/>
  <c r="U44" i="6"/>
  <c r="U82" i="6"/>
  <c r="V82" i="6"/>
  <c r="T82" i="6"/>
  <c r="Y64" i="6"/>
  <c r="V64" i="6"/>
  <c r="T64" i="6"/>
  <c r="U64" i="6"/>
  <c r="Q59" i="6"/>
  <c r="Q65" i="6"/>
  <c r="G259" i="5" s="1"/>
  <c r="T39" i="6"/>
  <c r="Y39" i="6"/>
  <c r="U39" i="6"/>
  <c r="W57" i="8"/>
  <c r="W56" i="8"/>
  <c r="W54" i="8"/>
  <c r="R54" i="8"/>
  <c r="R25" i="8" l="1"/>
  <c r="R26" i="8"/>
  <c r="G34" i="5"/>
  <c r="R23" i="8"/>
  <c r="G31" i="5"/>
  <c r="T59" i="6"/>
  <c r="G243" i="5"/>
  <c r="J257" i="5"/>
  <c r="M257" i="5"/>
  <c r="R20" i="8"/>
  <c r="R22" i="8"/>
  <c r="Y59" i="6"/>
  <c r="V59" i="6"/>
  <c r="U59" i="6"/>
  <c r="Y65" i="6"/>
  <c r="T65" i="6"/>
  <c r="V65" i="6"/>
  <c r="U65" i="6"/>
  <c r="F108" i="1" l="1"/>
  <c r="I406" i="5"/>
  <c r="H15" i="1" l="1"/>
  <c r="I403" i="5"/>
  <c r="H403" i="5"/>
  <c r="I405" i="5" l="1"/>
  <c r="H405" i="5"/>
  <c r="O80" i="8" l="1"/>
  <c r="O70" i="8"/>
  <c r="O71" i="8" l="1"/>
  <c r="P11" i="8" s="1"/>
  <c r="R72" i="6"/>
  <c r="F115" i="1"/>
  <c r="F118" i="1" s="1"/>
  <c r="H109" i="1" l="1"/>
  <c r="H107" i="1"/>
  <c r="O107" i="1" s="1"/>
  <c r="H116" i="1"/>
  <c r="H41" i="1"/>
  <c r="H43" i="1"/>
  <c r="H36" i="1"/>
  <c r="H34" i="1"/>
  <c r="H35" i="1"/>
  <c r="H40" i="1"/>
  <c r="H26" i="1"/>
  <c r="H22" i="1"/>
  <c r="H25" i="1" l="1"/>
  <c r="H23" i="1"/>
  <c r="H96" i="1" l="1"/>
  <c r="H77" i="1"/>
  <c r="H37" i="1"/>
  <c r="H38" i="1"/>
  <c r="H39" i="1"/>
  <c r="H31" i="1"/>
  <c r="H30" i="1"/>
  <c r="H29" i="1"/>
  <c r="H27" i="1"/>
  <c r="H24" i="1"/>
  <c r="H21" i="1"/>
  <c r="H28" i="1"/>
  <c r="H20" i="1"/>
  <c r="H18" i="1"/>
  <c r="H17" i="1"/>
  <c r="H19" i="1"/>
  <c r="H16" i="1"/>
  <c r="G86" i="5" l="1"/>
  <c r="B1" i="8"/>
  <c r="G293" i="5" l="1"/>
  <c r="H80" i="1"/>
  <c r="H82" i="1" s="1"/>
  <c r="I113" i="1" l="1"/>
  <c r="K113" i="1"/>
  <c r="N113" i="1"/>
  <c r="P113" i="1" l="1"/>
  <c r="Q113" i="1" s="1"/>
  <c r="W88" i="5" l="1"/>
  <c r="V88" i="5"/>
  <c r="U88" i="5"/>
  <c r="T88" i="5"/>
  <c r="S88" i="5"/>
  <c r="R88" i="5"/>
  <c r="Q88" i="5"/>
  <c r="P88" i="5"/>
  <c r="M88" i="5"/>
  <c r="G60" i="1"/>
  <c r="G166" i="1" s="1"/>
  <c r="X88" i="5" l="1"/>
  <c r="I52" i="1"/>
  <c r="N52" i="1"/>
  <c r="K52" i="1"/>
  <c r="O52" i="1"/>
  <c r="P52" i="1" l="1"/>
  <c r="I209" i="5"/>
  <c r="H209" i="5"/>
  <c r="F209" i="5"/>
  <c r="E209" i="5"/>
  <c r="D209" i="5"/>
  <c r="C209" i="5"/>
  <c r="B209" i="5"/>
  <c r="W209" i="5" s="1"/>
  <c r="O53" i="6"/>
  <c r="Q38" i="6"/>
  <c r="G135" i="5" s="1"/>
  <c r="O38" i="6"/>
  <c r="U38" i="6" l="1"/>
  <c r="T209" i="5"/>
  <c r="T134" i="5"/>
  <c r="P209" i="5"/>
  <c r="Q209" i="5"/>
  <c r="X209" i="5" s="1"/>
  <c r="U209" i="5"/>
  <c r="L209" i="5"/>
  <c r="R209" i="5"/>
  <c r="V209" i="5"/>
  <c r="S209" i="5"/>
  <c r="G209" i="5"/>
  <c r="J209" i="5" s="1"/>
  <c r="Q134" i="5"/>
  <c r="U134" i="5"/>
  <c r="L134" i="5"/>
  <c r="R134" i="5"/>
  <c r="V134" i="5"/>
  <c r="S134" i="5"/>
  <c r="W134" i="5"/>
  <c r="P134" i="5"/>
  <c r="T38" i="6"/>
  <c r="Y38" i="6"/>
  <c r="V38" i="6"/>
  <c r="M209" i="5" l="1"/>
  <c r="X134" i="5"/>
  <c r="Y53" i="6"/>
  <c r="V53" i="6"/>
  <c r="T53" i="6"/>
  <c r="U53" i="6"/>
  <c r="U450" i="5" l="1"/>
  <c r="U449" i="5"/>
  <c r="U447" i="5"/>
  <c r="U446" i="5"/>
  <c r="U441" i="5"/>
  <c r="U439" i="5"/>
  <c r="U438" i="5"/>
  <c r="U437" i="5"/>
  <c r="U436" i="5"/>
  <c r="U435" i="5"/>
  <c r="U434" i="5"/>
  <c r="U433" i="5"/>
  <c r="U432" i="5"/>
  <c r="U431" i="5"/>
  <c r="U430" i="5"/>
  <c r="U429" i="5"/>
  <c r="U426" i="5"/>
  <c r="U425" i="5"/>
  <c r="U424" i="5"/>
  <c r="U423" i="5"/>
  <c r="U422" i="5"/>
  <c r="U421" i="5"/>
  <c r="U420" i="5"/>
  <c r="U419" i="5"/>
  <c r="U417" i="5"/>
  <c r="U415" i="5"/>
  <c r="U413" i="5"/>
  <c r="U393" i="5"/>
  <c r="U392" i="5"/>
  <c r="U391" i="5"/>
  <c r="U390" i="5"/>
  <c r="U389" i="5"/>
  <c r="U388" i="5"/>
  <c r="U387" i="5"/>
  <c r="U386" i="5"/>
  <c r="U385" i="5"/>
  <c r="U383" i="5"/>
  <c r="U382" i="5"/>
  <c r="U381" i="5"/>
  <c r="U380" i="5"/>
  <c r="U379" i="5"/>
  <c r="U378" i="5"/>
  <c r="U377" i="5"/>
  <c r="U376" i="5"/>
  <c r="U374" i="5"/>
  <c r="U372" i="5"/>
  <c r="U371" i="5"/>
  <c r="U370" i="5"/>
  <c r="U369" i="5"/>
  <c r="U368" i="5"/>
  <c r="U367" i="5"/>
  <c r="U365" i="5"/>
  <c r="U346" i="5"/>
  <c r="U345" i="5"/>
  <c r="U344" i="5"/>
  <c r="U343" i="5"/>
  <c r="U342" i="5"/>
  <c r="U341" i="5"/>
  <c r="U340" i="5"/>
  <c r="U339" i="5"/>
  <c r="U338" i="5"/>
  <c r="U337" i="5"/>
  <c r="U335" i="5"/>
  <c r="U334" i="5"/>
  <c r="U331" i="5"/>
  <c r="U329" i="5"/>
  <c r="U328" i="5"/>
  <c r="U327" i="5"/>
  <c r="U321" i="5"/>
  <c r="U319" i="5"/>
  <c r="U318" i="5"/>
  <c r="U317" i="5"/>
  <c r="U316" i="5"/>
  <c r="U315" i="5"/>
  <c r="U297" i="5"/>
  <c r="U294" i="5"/>
  <c r="U291" i="5"/>
  <c r="U288" i="5"/>
  <c r="U285" i="5"/>
  <c r="U283" i="5"/>
  <c r="U281" i="5"/>
  <c r="U280" i="5"/>
  <c r="U278" i="5"/>
  <c r="U277" i="5"/>
  <c r="U276" i="5"/>
  <c r="U275" i="5"/>
  <c r="U274" i="5"/>
  <c r="U273" i="5"/>
  <c r="U272" i="5"/>
  <c r="U262" i="5"/>
  <c r="U260" i="5"/>
  <c r="U254" i="5"/>
  <c r="U253" i="5"/>
  <c r="U252" i="5"/>
  <c r="U251" i="5"/>
  <c r="U250" i="5"/>
  <c r="U249" i="5"/>
  <c r="U248" i="5"/>
  <c r="U247" i="5"/>
  <c r="U245" i="5"/>
  <c r="U244" i="5"/>
  <c r="U240" i="5"/>
  <c r="U238" i="5"/>
  <c r="U237" i="5"/>
  <c r="U236" i="5"/>
  <c r="U234" i="5"/>
  <c r="U233" i="5"/>
  <c r="U232" i="5"/>
  <c r="U231" i="5"/>
  <c r="U230" i="5"/>
  <c r="U229" i="5"/>
  <c r="U228" i="5"/>
  <c r="U227" i="5"/>
  <c r="U225" i="5"/>
  <c r="U224" i="5"/>
  <c r="U222" i="5"/>
  <c r="U221" i="5"/>
  <c r="U220" i="5"/>
  <c r="U219" i="5"/>
  <c r="U218" i="5"/>
  <c r="U217" i="5"/>
  <c r="U216" i="5"/>
  <c r="U215" i="5"/>
  <c r="U214" i="5"/>
  <c r="U212" i="5"/>
  <c r="U211" i="5"/>
  <c r="U207" i="5"/>
  <c r="U206" i="5"/>
  <c r="U205" i="5"/>
  <c r="U204" i="5"/>
  <c r="U203" i="5"/>
  <c r="U202" i="5"/>
  <c r="U201" i="5"/>
  <c r="U200" i="5"/>
  <c r="U199" i="5"/>
  <c r="U198" i="5"/>
  <c r="U197" i="5"/>
  <c r="U196" i="5"/>
  <c r="U195" i="5"/>
  <c r="U194" i="5"/>
  <c r="U193" i="5"/>
  <c r="U192" i="5"/>
  <c r="U191" i="5"/>
  <c r="U190" i="5"/>
  <c r="U189" i="5"/>
  <c r="U188" i="5"/>
  <c r="U186" i="5"/>
  <c r="U185" i="5"/>
  <c r="U179" i="5"/>
  <c r="U178" i="5"/>
  <c r="U177" i="5"/>
  <c r="U176" i="5"/>
  <c r="U175" i="5"/>
  <c r="U174" i="5"/>
  <c r="U173" i="5"/>
  <c r="U172" i="5"/>
  <c r="U171" i="5"/>
  <c r="U170" i="5"/>
  <c r="U168" i="5"/>
  <c r="U167" i="5"/>
  <c r="U164" i="5"/>
  <c r="U163" i="5"/>
  <c r="U162" i="5"/>
  <c r="U159" i="5"/>
  <c r="U157" i="5"/>
  <c r="U155" i="5"/>
  <c r="U153" i="5"/>
  <c r="U151" i="5"/>
  <c r="U150" i="5"/>
  <c r="U149" i="5"/>
  <c r="U147" i="5"/>
  <c r="U146" i="5"/>
  <c r="U145" i="5"/>
  <c r="U144" i="5"/>
  <c r="U143" i="5"/>
  <c r="U142" i="5"/>
  <c r="U141" i="5"/>
  <c r="U140" i="5"/>
  <c r="U139" i="5"/>
  <c r="U108" i="5"/>
  <c r="U107" i="5"/>
  <c r="U105" i="5"/>
  <c r="U104" i="5"/>
  <c r="U102" i="5"/>
  <c r="U101" i="5"/>
  <c r="U99" i="5"/>
  <c r="U98" i="5"/>
  <c r="U96" i="5"/>
  <c r="U95" i="5"/>
  <c r="U93" i="5"/>
  <c r="U92" i="5"/>
  <c r="U91" i="5"/>
  <c r="U90" i="5"/>
  <c r="U89" i="5"/>
  <c r="U86" i="5"/>
  <c r="U85" i="5"/>
  <c r="U65" i="5"/>
  <c r="U66" i="5"/>
  <c r="U67" i="5"/>
  <c r="U68" i="5"/>
  <c r="U69" i="5"/>
  <c r="U70" i="5"/>
  <c r="U71" i="5"/>
  <c r="U72" i="5"/>
  <c r="U73" i="5"/>
  <c r="U74" i="5"/>
  <c r="U75" i="5"/>
  <c r="U76" i="5"/>
  <c r="U77" i="5"/>
  <c r="U78" i="5"/>
  <c r="T450" i="5"/>
  <c r="T449" i="5"/>
  <c r="T447" i="5"/>
  <c r="T446" i="5"/>
  <c r="T441" i="5"/>
  <c r="T439" i="5"/>
  <c r="T438" i="5"/>
  <c r="T437" i="5"/>
  <c r="T436" i="5"/>
  <c r="T435" i="5"/>
  <c r="T434" i="5"/>
  <c r="T433" i="5"/>
  <c r="T432" i="5"/>
  <c r="T431" i="5"/>
  <c r="T430" i="5"/>
  <c r="T429" i="5"/>
  <c r="T426" i="5"/>
  <c r="T425" i="5"/>
  <c r="T424" i="5"/>
  <c r="T423" i="5"/>
  <c r="T422" i="5"/>
  <c r="T421" i="5"/>
  <c r="T420" i="5"/>
  <c r="T419" i="5"/>
  <c r="T417" i="5"/>
  <c r="T415" i="5"/>
  <c r="T413" i="5"/>
  <c r="T393" i="5"/>
  <c r="T392" i="5"/>
  <c r="T391" i="5"/>
  <c r="T390" i="5"/>
  <c r="T389" i="5"/>
  <c r="T388" i="5"/>
  <c r="T387" i="5"/>
  <c r="T386" i="5"/>
  <c r="T385" i="5"/>
  <c r="T383" i="5"/>
  <c r="T382" i="5"/>
  <c r="T381" i="5"/>
  <c r="T380" i="5"/>
  <c r="T379" i="5"/>
  <c r="T378" i="5"/>
  <c r="T377" i="5"/>
  <c r="T376" i="5"/>
  <c r="T374" i="5"/>
  <c r="T372" i="5"/>
  <c r="T371" i="5"/>
  <c r="T370" i="5"/>
  <c r="T369" i="5"/>
  <c r="T368" i="5"/>
  <c r="T367" i="5"/>
  <c r="T365" i="5"/>
  <c r="T346" i="5"/>
  <c r="T345" i="5"/>
  <c r="T344" i="5"/>
  <c r="T343" i="5"/>
  <c r="T342" i="5"/>
  <c r="T341" i="5"/>
  <c r="T340" i="5"/>
  <c r="T339" i="5"/>
  <c r="T338" i="5"/>
  <c r="T337" i="5"/>
  <c r="T335" i="5"/>
  <c r="T334" i="5"/>
  <c r="T331" i="5"/>
  <c r="T329" i="5"/>
  <c r="T328" i="5"/>
  <c r="T327" i="5"/>
  <c r="T321" i="5"/>
  <c r="T319" i="5"/>
  <c r="T318" i="5"/>
  <c r="T317" i="5"/>
  <c r="T316" i="5"/>
  <c r="T315" i="5"/>
  <c r="T297" i="5"/>
  <c r="T294" i="5"/>
  <c r="T291" i="5"/>
  <c r="T288" i="5"/>
  <c r="T285" i="5"/>
  <c r="T283" i="5"/>
  <c r="T281" i="5"/>
  <c r="T280" i="5"/>
  <c r="T278" i="5"/>
  <c r="T277" i="5"/>
  <c r="T276" i="5"/>
  <c r="T275" i="5"/>
  <c r="T274" i="5"/>
  <c r="T273" i="5"/>
  <c r="T272" i="5"/>
  <c r="T262" i="5"/>
  <c r="T260" i="5"/>
  <c r="T254" i="5"/>
  <c r="T253" i="5"/>
  <c r="T252" i="5"/>
  <c r="T251" i="5"/>
  <c r="T250" i="5"/>
  <c r="T249" i="5"/>
  <c r="T248" i="5"/>
  <c r="T247" i="5"/>
  <c r="T245" i="5"/>
  <c r="T244" i="5"/>
  <c r="T240" i="5"/>
  <c r="T238" i="5"/>
  <c r="T237" i="5"/>
  <c r="T236" i="5"/>
  <c r="T234" i="5"/>
  <c r="T233" i="5"/>
  <c r="T232" i="5"/>
  <c r="T231" i="5"/>
  <c r="T230" i="5"/>
  <c r="T229" i="5"/>
  <c r="T228" i="5"/>
  <c r="T227" i="5"/>
  <c r="T225" i="5"/>
  <c r="T224" i="5"/>
  <c r="T222" i="5"/>
  <c r="T221" i="5"/>
  <c r="T220" i="5"/>
  <c r="T219" i="5"/>
  <c r="T218" i="5"/>
  <c r="T217" i="5"/>
  <c r="T216" i="5"/>
  <c r="T215" i="5"/>
  <c r="T214" i="5"/>
  <c r="T212" i="5"/>
  <c r="T211" i="5"/>
  <c r="T207" i="5"/>
  <c r="T205" i="5"/>
  <c r="T204" i="5"/>
  <c r="T202" i="5"/>
  <c r="T201" i="5"/>
  <c r="T200" i="5"/>
  <c r="T199" i="5"/>
  <c r="T198" i="5"/>
  <c r="T196" i="5"/>
  <c r="T195" i="5"/>
  <c r="T193" i="5"/>
  <c r="T192" i="5"/>
  <c r="T190" i="5"/>
  <c r="T189" i="5"/>
  <c r="T188" i="5"/>
  <c r="T186" i="5"/>
  <c r="T185" i="5"/>
  <c r="T179" i="5"/>
  <c r="T178" i="5"/>
  <c r="T177" i="5"/>
  <c r="T176" i="5"/>
  <c r="T175" i="5"/>
  <c r="T174" i="5"/>
  <c r="T173" i="5"/>
  <c r="T172" i="5"/>
  <c r="T171" i="5"/>
  <c r="T170" i="5"/>
  <c r="T168" i="5"/>
  <c r="T167" i="5"/>
  <c r="T164" i="5"/>
  <c r="T163" i="5"/>
  <c r="T162" i="5"/>
  <c r="T159" i="5"/>
  <c r="T157" i="5"/>
  <c r="T155" i="5"/>
  <c r="T153" i="5"/>
  <c r="T151" i="5"/>
  <c r="T150" i="5"/>
  <c r="T149" i="5"/>
  <c r="T147" i="5"/>
  <c r="T146" i="5"/>
  <c r="T145" i="5"/>
  <c r="T144" i="5"/>
  <c r="T143" i="5"/>
  <c r="T142" i="5"/>
  <c r="T141" i="5"/>
  <c r="T140" i="5"/>
  <c r="T139" i="5"/>
  <c r="T108" i="5"/>
  <c r="T107" i="5"/>
  <c r="T105" i="5"/>
  <c r="T104" i="5"/>
  <c r="T102" i="5"/>
  <c r="T101" i="5"/>
  <c r="T100" i="5"/>
  <c r="T99" i="5"/>
  <c r="T98" i="5"/>
  <c r="T96" i="5"/>
  <c r="T95" i="5"/>
  <c r="T93" i="5"/>
  <c r="T92" i="5"/>
  <c r="T90" i="5"/>
  <c r="T89" i="5"/>
  <c r="T87" i="5"/>
  <c r="T86" i="5"/>
  <c r="T85" i="5"/>
  <c r="T65" i="5"/>
  <c r="T66" i="5"/>
  <c r="T67" i="5"/>
  <c r="T68" i="5"/>
  <c r="T69" i="5"/>
  <c r="T70" i="5"/>
  <c r="T71" i="5"/>
  <c r="T72" i="5"/>
  <c r="T73" i="5"/>
  <c r="T74" i="5"/>
  <c r="T75" i="5"/>
  <c r="T76" i="5"/>
  <c r="T77" i="5"/>
  <c r="T78" i="5"/>
  <c r="AL61" i="5"/>
  <c r="AH61" i="5"/>
  <c r="AD61" i="5"/>
  <c r="Z61" i="5"/>
  <c r="R61" i="5"/>
  <c r="AL62" i="5"/>
  <c r="AH62" i="5"/>
  <c r="AD62" i="5"/>
  <c r="Z62" i="5"/>
  <c r="R62" i="5"/>
  <c r="U62" i="5" l="1"/>
  <c r="U373" i="5"/>
  <c r="T373" i="5"/>
  <c r="T62" i="5"/>
  <c r="U61" i="5"/>
  <c r="T61" i="5"/>
  <c r="P61" i="5"/>
  <c r="V61" i="5"/>
  <c r="S61" i="5"/>
  <c r="Q61" i="5"/>
  <c r="W61" i="5"/>
  <c r="P62" i="5"/>
  <c r="V62" i="5"/>
  <c r="S62" i="5"/>
  <c r="Q62" i="5"/>
  <c r="W62" i="5"/>
  <c r="X62" i="5" l="1"/>
  <c r="X61" i="5"/>
  <c r="O55" i="8" l="1"/>
  <c r="G63" i="5" s="1"/>
  <c r="J61" i="5" l="1"/>
  <c r="W55" i="8"/>
  <c r="R55" i="8"/>
  <c r="G205" i="5" l="1"/>
  <c r="W206" i="5"/>
  <c r="V206" i="5"/>
  <c r="S206" i="5"/>
  <c r="Q206" i="5"/>
  <c r="P206" i="5"/>
  <c r="M206" i="5"/>
  <c r="R206" i="5"/>
  <c r="W203" i="5"/>
  <c r="V203" i="5"/>
  <c r="S203" i="5"/>
  <c r="Q203" i="5"/>
  <c r="P203" i="5"/>
  <c r="M203" i="5"/>
  <c r="R203" i="5"/>
  <c r="W200" i="5"/>
  <c r="V200" i="5"/>
  <c r="S200" i="5"/>
  <c r="Q200" i="5"/>
  <c r="P200" i="5"/>
  <c r="M200" i="5"/>
  <c r="R200" i="5"/>
  <c r="G200" i="5"/>
  <c r="L200" i="5" s="1"/>
  <c r="W197" i="5"/>
  <c r="V197" i="5"/>
  <c r="S197" i="5"/>
  <c r="Q197" i="5"/>
  <c r="P197" i="5"/>
  <c r="M197" i="5"/>
  <c r="R197" i="5"/>
  <c r="W194" i="5"/>
  <c r="V194" i="5"/>
  <c r="S194" i="5"/>
  <c r="Q194" i="5"/>
  <c r="P194" i="5"/>
  <c r="M194" i="5"/>
  <c r="R194" i="5"/>
  <c r="AB191" i="5"/>
  <c r="AF191" i="5" s="1"/>
  <c r="AJ191" i="5" s="1"/>
  <c r="AN191" i="5" s="1"/>
  <c r="W191" i="5"/>
  <c r="V191" i="5"/>
  <c r="S191" i="5"/>
  <c r="Q191" i="5"/>
  <c r="P191" i="5"/>
  <c r="M191" i="5"/>
  <c r="R191" i="5"/>
  <c r="X206" i="5" l="1"/>
  <c r="X203" i="5"/>
  <c r="X200" i="5"/>
  <c r="J200" i="5"/>
  <c r="X197" i="5"/>
  <c r="X194" i="5"/>
  <c r="X191" i="5"/>
  <c r="W298" i="5" l="1"/>
  <c r="V298" i="5"/>
  <c r="S298" i="5"/>
  <c r="R298" i="5"/>
  <c r="Q298" i="5"/>
  <c r="P298" i="5"/>
  <c r="M298" i="5"/>
  <c r="X298" i="5" l="1"/>
  <c r="W296" i="5"/>
  <c r="V296" i="5"/>
  <c r="S296" i="5"/>
  <c r="R296" i="5"/>
  <c r="Q296" i="5"/>
  <c r="P296" i="5"/>
  <c r="M296" i="5"/>
  <c r="W291" i="5"/>
  <c r="V291" i="5"/>
  <c r="S291" i="5"/>
  <c r="R291" i="5"/>
  <c r="Q291" i="5"/>
  <c r="P291" i="5"/>
  <c r="M291" i="5"/>
  <c r="W288" i="5"/>
  <c r="V288" i="5"/>
  <c r="S288" i="5"/>
  <c r="R288" i="5"/>
  <c r="Q288" i="5"/>
  <c r="P288" i="5"/>
  <c r="M288" i="5"/>
  <c r="W287" i="5"/>
  <c r="V287" i="5"/>
  <c r="S287" i="5"/>
  <c r="R287" i="5"/>
  <c r="Q287" i="5"/>
  <c r="P287" i="5"/>
  <c r="M287" i="5"/>
  <c r="W105" i="5"/>
  <c r="V105" i="5"/>
  <c r="Q105" i="5"/>
  <c r="P105" i="5"/>
  <c r="M105" i="5"/>
  <c r="W103" i="5"/>
  <c r="V103" i="5"/>
  <c r="S103" i="5"/>
  <c r="Q103" i="5"/>
  <c r="P103" i="5"/>
  <c r="M103" i="5"/>
  <c r="R103" i="5"/>
  <c r="W100" i="5"/>
  <c r="V100" i="5"/>
  <c r="S100" i="5"/>
  <c r="Q100" i="5"/>
  <c r="P100" i="5"/>
  <c r="M100" i="5"/>
  <c r="R100" i="5"/>
  <c r="W97" i="5"/>
  <c r="V97" i="5"/>
  <c r="S97" i="5"/>
  <c r="Q97" i="5"/>
  <c r="P97" i="5"/>
  <c r="M97" i="5"/>
  <c r="R97" i="5"/>
  <c r="W94" i="5"/>
  <c r="V94" i="5"/>
  <c r="S94" i="5"/>
  <c r="Q94" i="5"/>
  <c r="P94" i="5"/>
  <c r="M94" i="5"/>
  <c r="R94" i="5"/>
  <c r="W283" i="5"/>
  <c r="V283" i="5"/>
  <c r="S283" i="5"/>
  <c r="R283" i="5"/>
  <c r="Q283" i="5"/>
  <c r="P283" i="5"/>
  <c r="M283" i="5"/>
  <c r="AB91" i="5"/>
  <c r="AF91" i="5" s="1"/>
  <c r="AJ91" i="5" s="1"/>
  <c r="AN91" i="5" s="1"/>
  <c r="W91" i="5"/>
  <c r="V91" i="5"/>
  <c r="S91" i="5"/>
  <c r="R91" i="5"/>
  <c r="Q91" i="5"/>
  <c r="P91" i="5"/>
  <c r="M91" i="5"/>
  <c r="W87" i="5"/>
  <c r="V87" i="5"/>
  <c r="Q87" i="5"/>
  <c r="P87" i="5"/>
  <c r="M87" i="5"/>
  <c r="R87" i="5"/>
  <c r="J62" i="5" l="1"/>
  <c r="X296" i="5"/>
  <c r="X291" i="5"/>
  <c r="X288" i="5"/>
  <c r="X287" i="5"/>
  <c r="X103" i="5"/>
  <c r="X105" i="5"/>
  <c r="X100" i="5"/>
  <c r="AA100" i="5"/>
  <c r="X97" i="5"/>
  <c r="X94" i="5"/>
  <c r="X283" i="5"/>
  <c r="X91" i="5"/>
  <c r="X87" i="5"/>
  <c r="AA87" i="5"/>
  <c r="S87" i="5"/>
  <c r="AE100" i="5" l="1"/>
  <c r="AE87" i="5"/>
  <c r="U284" i="5" l="1"/>
  <c r="AI100" i="5"/>
  <c r="AI87" i="5"/>
  <c r="W204" i="5"/>
  <c r="V204" i="5"/>
  <c r="S204" i="5"/>
  <c r="R204" i="5"/>
  <c r="Q204" i="5"/>
  <c r="P204" i="5"/>
  <c r="M204" i="5"/>
  <c r="W201" i="5"/>
  <c r="V201" i="5"/>
  <c r="S201" i="5"/>
  <c r="R201" i="5"/>
  <c r="Q201" i="5"/>
  <c r="P201" i="5"/>
  <c r="M201" i="5"/>
  <c r="W198" i="5"/>
  <c r="V198" i="5"/>
  <c r="S198" i="5"/>
  <c r="R198" i="5"/>
  <c r="Q198" i="5"/>
  <c r="P198" i="5"/>
  <c r="M198" i="5"/>
  <c r="W195" i="5"/>
  <c r="V195" i="5"/>
  <c r="S195" i="5"/>
  <c r="R195" i="5"/>
  <c r="Q195" i="5"/>
  <c r="P195" i="5"/>
  <c r="M195" i="5"/>
  <c r="W193" i="5"/>
  <c r="V193" i="5"/>
  <c r="Q193" i="5"/>
  <c r="P193" i="5"/>
  <c r="M193" i="5"/>
  <c r="S193" i="5"/>
  <c r="T284" i="5" l="1"/>
  <c r="AM100" i="5"/>
  <c r="AM87" i="5"/>
  <c r="X204" i="5"/>
  <c r="X201" i="5"/>
  <c r="X198" i="5"/>
  <c r="X195" i="5"/>
  <c r="X193" i="5"/>
  <c r="L284" i="5" l="1"/>
  <c r="F99" i="1" l="1"/>
  <c r="I93" i="1" l="1"/>
  <c r="K93" i="1"/>
  <c r="N93" i="1"/>
  <c r="T191" i="5"/>
  <c r="G191" i="5"/>
  <c r="J191" i="5" s="1"/>
  <c r="AA191" i="5"/>
  <c r="Z191" i="5" s="1"/>
  <c r="P93" i="1" l="1"/>
  <c r="Q93" i="1" s="1"/>
  <c r="L191" i="5"/>
  <c r="AE191" i="5"/>
  <c r="AI191" i="5" s="1"/>
  <c r="AD191" i="5" l="1"/>
  <c r="AM191" i="5"/>
  <c r="AL191" i="5" s="1"/>
  <c r="AH191" i="5"/>
  <c r="J135" i="1"/>
  <c r="M135" i="1"/>
  <c r="J118" i="1"/>
  <c r="M118" i="1"/>
  <c r="H149" i="1"/>
  <c r="G289" i="5" l="1"/>
  <c r="S289" i="5"/>
  <c r="U293" i="5"/>
  <c r="T293" i="5"/>
  <c r="I107" i="1"/>
  <c r="K107" i="1"/>
  <c r="N107" i="1"/>
  <c r="K134" i="1"/>
  <c r="I134" i="1"/>
  <c r="N134" i="1"/>
  <c r="G286" i="5"/>
  <c r="U286" i="5" l="1"/>
  <c r="S286" i="5"/>
  <c r="U295" i="5"/>
  <c r="S295" i="5"/>
  <c r="G295" i="5"/>
  <c r="L289" i="5"/>
  <c r="J289" i="5"/>
  <c r="U296" i="5"/>
  <c r="U298" i="5"/>
  <c r="P107" i="1"/>
  <c r="P134" i="1"/>
  <c r="Q134" i="1" s="1"/>
  <c r="L295" i="5" l="1"/>
  <c r="J295" i="5"/>
  <c r="L286" i="5"/>
  <c r="J286" i="5"/>
  <c r="U290" i="5"/>
  <c r="U287" i="5"/>
  <c r="Q107" i="1"/>
  <c r="I291" i="5" l="1"/>
  <c r="H291" i="5"/>
  <c r="O39" i="1"/>
  <c r="N39" i="1"/>
  <c r="I39" i="1"/>
  <c r="K39" i="1"/>
  <c r="AB100" i="5" l="1"/>
  <c r="L118" i="1"/>
  <c r="P39" i="1"/>
  <c r="U100" i="5" l="1"/>
  <c r="G100" i="5"/>
  <c r="J100" i="5" s="1"/>
  <c r="G199" i="5"/>
  <c r="AF100" i="5"/>
  <c r="Z100" i="5"/>
  <c r="L100" i="5"/>
  <c r="N38" i="1"/>
  <c r="K37" i="1"/>
  <c r="AJ100" i="5" l="1"/>
  <c r="AD100" i="5"/>
  <c r="I37" i="1"/>
  <c r="N37" i="1"/>
  <c r="K38" i="1"/>
  <c r="O38" i="1"/>
  <c r="I38" i="1"/>
  <c r="O37" i="1"/>
  <c r="K31" i="1"/>
  <c r="O31" i="1"/>
  <c r="I31" i="1"/>
  <c r="N31" i="1"/>
  <c r="AN100" i="5" l="1"/>
  <c r="AL100" i="5" s="1"/>
  <c r="AH100" i="5"/>
  <c r="P38" i="1"/>
  <c r="Q38" i="1" s="1"/>
  <c r="P37" i="1"/>
  <c r="Q37" i="1" s="1"/>
  <c r="P31" i="1"/>
  <c r="Q31" i="1" s="1"/>
  <c r="I407" i="5" l="1"/>
  <c r="R130" i="6" l="1"/>
  <c r="Q132" i="6"/>
  <c r="G408" i="5" s="1"/>
  <c r="AB404" i="5"/>
  <c r="AF404" i="5" s="1"/>
  <c r="AJ404" i="5" s="1"/>
  <c r="AN404" i="5" s="1"/>
  <c r="AA404" i="5"/>
  <c r="AE404" i="5" s="1"/>
  <c r="AI404" i="5" s="1"/>
  <c r="H406" i="5" l="1"/>
  <c r="Q130" i="6"/>
  <c r="G406" i="5" s="1"/>
  <c r="Z404" i="5"/>
  <c r="AM404" i="5"/>
  <c r="AL404" i="5" s="1"/>
  <c r="AH404" i="5"/>
  <c r="AD404" i="5"/>
  <c r="AB402" i="5"/>
  <c r="AA402" i="5"/>
  <c r="G403" i="5" l="1"/>
  <c r="T127" i="6" l="1"/>
  <c r="U127" i="6"/>
  <c r="H137" i="1"/>
  <c r="H142" i="1"/>
  <c r="O142" i="1" l="1"/>
  <c r="I142" i="1" l="1"/>
  <c r="N142" i="1"/>
  <c r="K142" i="1"/>
  <c r="P142" i="1" l="1"/>
  <c r="Q142" i="1" s="1"/>
  <c r="P14" i="8" l="1"/>
  <c r="H22" i="5" s="1"/>
  <c r="O14" i="8" l="1"/>
  <c r="G22" i="5" s="1"/>
  <c r="Q16" i="8"/>
  <c r="I24" i="5" s="1"/>
  <c r="H24" i="5"/>
  <c r="Q21" i="8"/>
  <c r="I29" i="5" s="1"/>
  <c r="AB151" i="5"/>
  <c r="AF151" i="5" s="1"/>
  <c r="AJ151" i="5" s="1"/>
  <c r="AN151" i="5" s="1"/>
  <c r="R14" i="8" l="1"/>
  <c r="O21" i="8"/>
  <c r="G29" i="5" s="1"/>
  <c r="O16" i="8"/>
  <c r="G24" i="5" s="1"/>
  <c r="S10" i="6"/>
  <c r="M10" i="6"/>
  <c r="R10" i="6"/>
  <c r="I10" i="6"/>
  <c r="R21" i="8" l="1"/>
  <c r="R16" i="8"/>
  <c r="AL221" i="5" l="1"/>
  <c r="AL220" i="5"/>
  <c r="AL219" i="5"/>
  <c r="AH221" i="5"/>
  <c r="AH220" i="5"/>
  <c r="AH219" i="5"/>
  <c r="AD221" i="5"/>
  <c r="AD220" i="5"/>
  <c r="AD219" i="5"/>
  <c r="Z219" i="5"/>
  <c r="Z220" i="5"/>
  <c r="Z221" i="5"/>
  <c r="Z207" i="5"/>
  <c r="AD207" i="5"/>
  <c r="AH207" i="5"/>
  <c r="AL207" i="5"/>
  <c r="AB172" i="5"/>
  <c r="AB173" i="5"/>
  <c r="AB171" i="5"/>
  <c r="AA303" i="5"/>
  <c r="AE303" i="5" s="1"/>
  <c r="AI303" i="5" s="1"/>
  <c r="AB303" i="5"/>
  <c r="AF303" i="5" s="1"/>
  <c r="AJ303" i="5" s="1"/>
  <c r="AN303" i="5" s="1"/>
  <c r="AA310" i="5"/>
  <c r="AE310" i="5" s="1"/>
  <c r="AI310" i="5" s="1"/>
  <c r="AB310" i="5"/>
  <c r="AA264" i="5"/>
  <c r="AE264" i="5" s="1"/>
  <c r="AI264" i="5" s="1"/>
  <c r="AB264" i="5"/>
  <c r="AL64" i="5"/>
  <c r="AL63" i="5"/>
  <c r="AL51" i="5"/>
  <c r="AL50" i="5"/>
  <c r="AL34" i="5"/>
  <c r="AL23" i="5"/>
  <c r="AL21" i="5"/>
  <c r="AH64" i="5"/>
  <c r="AH63" i="5"/>
  <c r="AH51" i="5"/>
  <c r="AH50" i="5"/>
  <c r="AH34" i="5"/>
  <c r="AH23" i="5"/>
  <c r="AH21" i="5"/>
  <c r="AD63" i="5"/>
  <c r="AD23" i="5"/>
  <c r="AD64" i="5"/>
  <c r="AD51" i="5"/>
  <c r="AD50" i="5"/>
  <c r="Z63" i="5"/>
  <c r="Z50" i="5"/>
  <c r="Z21" i="5"/>
  <c r="Z23" i="5"/>
  <c r="Z34" i="5"/>
  <c r="Z51" i="5"/>
  <c r="Z64" i="5"/>
  <c r="AL455" i="5"/>
  <c r="AN373" i="5"/>
  <c r="AM373" i="5"/>
  <c r="AL373" i="5"/>
  <c r="AL233" i="5"/>
  <c r="AL232" i="5"/>
  <c r="AL231" i="5"/>
  <c r="AL230" i="5"/>
  <c r="AL229" i="5"/>
  <c r="AL11" i="5"/>
  <c r="AH455" i="5"/>
  <c r="AJ373" i="5"/>
  <c r="AI373" i="5"/>
  <c r="AH373" i="5"/>
  <c r="AH233" i="5"/>
  <c r="AH232" i="5"/>
  <c r="AH231" i="5"/>
  <c r="AH230" i="5"/>
  <c r="AH229" i="5"/>
  <c r="AH11" i="5"/>
  <c r="AD455" i="5"/>
  <c r="AF373" i="5"/>
  <c r="AE373" i="5"/>
  <c r="AD373" i="5"/>
  <c r="AD233" i="5"/>
  <c r="AD232" i="5"/>
  <c r="AD231" i="5"/>
  <c r="AD230" i="5"/>
  <c r="AD229" i="5"/>
  <c r="AD11" i="5"/>
  <c r="Z455" i="5"/>
  <c r="AB373" i="5"/>
  <c r="AA373" i="5"/>
  <c r="Z373" i="5"/>
  <c r="Z233" i="5"/>
  <c r="Z232" i="5"/>
  <c r="Z231" i="5"/>
  <c r="Z230" i="5"/>
  <c r="Z229" i="5"/>
  <c r="AB48" i="5"/>
  <c r="AF48" i="5" s="1"/>
  <c r="AJ48" i="5" s="1"/>
  <c r="AN48" i="5" s="1"/>
  <c r="AA48" i="5"/>
  <c r="AE48" i="5" s="1"/>
  <c r="Z11" i="5"/>
  <c r="T131" i="5" l="1"/>
  <c r="U131" i="5"/>
  <c r="T125" i="5"/>
  <c r="U125" i="5"/>
  <c r="T123" i="5"/>
  <c r="U123" i="5"/>
  <c r="U113" i="5"/>
  <c r="T113" i="5"/>
  <c r="U271" i="5"/>
  <c r="T271" i="5"/>
  <c r="T267" i="5"/>
  <c r="U267" i="5"/>
  <c r="U312" i="5"/>
  <c r="T312" i="5"/>
  <c r="T310" i="5"/>
  <c r="U310" i="5"/>
  <c r="U304" i="5"/>
  <c r="T304" i="5"/>
  <c r="T302" i="5"/>
  <c r="U302" i="5"/>
  <c r="T132" i="5"/>
  <c r="U132" i="5"/>
  <c r="T124" i="5"/>
  <c r="U124" i="5"/>
  <c r="U122" i="5"/>
  <c r="T122" i="5"/>
  <c r="T120" i="5"/>
  <c r="U120" i="5"/>
  <c r="T116" i="5"/>
  <c r="U116" i="5"/>
  <c r="T112" i="5"/>
  <c r="U112" i="5"/>
  <c r="U270" i="5"/>
  <c r="T270" i="5"/>
  <c r="U266" i="5"/>
  <c r="T266" i="5"/>
  <c r="T264" i="5"/>
  <c r="U264" i="5"/>
  <c r="T311" i="5"/>
  <c r="U311" i="5"/>
  <c r="T309" i="5"/>
  <c r="U309" i="5"/>
  <c r="T307" i="5"/>
  <c r="U307" i="5"/>
  <c r="T301" i="5"/>
  <c r="U301" i="5"/>
  <c r="T138" i="5"/>
  <c r="U138" i="5"/>
  <c r="T136" i="5"/>
  <c r="U136" i="5"/>
  <c r="T133" i="5"/>
  <c r="U133" i="5"/>
  <c r="T129" i="5"/>
  <c r="U129" i="5"/>
  <c r="T127" i="5"/>
  <c r="U127" i="5"/>
  <c r="T121" i="5"/>
  <c r="U121" i="5"/>
  <c r="T119" i="5"/>
  <c r="U119" i="5"/>
  <c r="T115" i="5"/>
  <c r="U115" i="5"/>
  <c r="T111" i="5"/>
  <c r="U111" i="5"/>
  <c r="T269" i="5"/>
  <c r="U269" i="5"/>
  <c r="T265" i="5"/>
  <c r="U265" i="5"/>
  <c r="T314" i="5"/>
  <c r="U314" i="5"/>
  <c r="U308" i="5"/>
  <c r="T308" i="5"/>
  <c r="T306" i="5"/>
  <c r="U306" i="5"/>
  <c r="U300" i="5"/>
  <c r="T300" i="5"/>
  <c r="T137" i="5"/>
  <c r="U137" i="5"/>
  <c r="U135" i="5"/>
  <c r="T135" i="5"/>
  <c r="U130" i="5"/>
  <c r="T130" i="5"/>
  <c r="T128" i="5"/>
  <c r="U128" i="5"/>
  <c r="U126" i="5"/>
  <c r="T126" i="5"/>
  <c r="U118" i="5"/>
  <c r="T118" i="5"/>
  <c r="T114" i="5"/>
  <c r="U114" i="5"/>
  <c r="T110" i="5"/>
  <c r="U110" i="5"/>
  <c r="T268" i="5"/>
  <c r="U268" i="5"/>
  <c r="U313" i="5"/>
  <c r="T313" i="5"/>
  <c r="U305" i="5"/>
  <c r="T305" i="5"/>
  <c r="T303" i="5"/>
  <c r="U303" i="5"/>
  <c r="AB174" i="5"/>
  <c r="AB175" i="5"/>
  <c r="AF264" i="5"/>
  <c r="AJ264" i="5" s="1"/>
  <c r="AN264" i="5" s="1"/>
  <c r="Z264" i="5"/>
  <c r="AF310" i="5"/>
  <c r="AJ310" i="5" s="1"/>
  <c r="Z310" i="5"/>
  <c r="Z303" i="5"/>
  <c r="AM303" i="5"/>
  <c r="AL303" i="5" s="1"/>
  <c r="AH303" i="5"/>
  <c r="AM310" i="5"/>
  <c r="AD303" i="5"/>
  <c r="AM264" i="5"/>
  <c r="AI48" i="5"/>
  <c r="AD48" i="5"/>
  <c r="Z48" i="5"/>
  <c r="AD34" i="5"/>
  <c r="AD21" i="5"/>
  <c r="AA395" i="5"/>
  <c r="AB395" i="5"/>
  <c r="AF395" i="5" s="1"/>
  <c r="AJ395" i="5" s="1"/>
  <c r="AN395" i="5" s="1"/>
  <c r="AA405" i="5"/>
  <c r="AB405" i="5"/>
  <c r="AF405" i="5" s="1"/>
  <c r="AJ405" i="5" s="1"/>
  <c r="AN405" i="5" s="1"/>
  <c r="AB407" i="5"/>
  <c r="AF407" i="5" s="1"/>
  <c r="AJ407" i="5" s="1"/>
  <c r="AN407" i="5" s="1"/>
  <c r="P363" i="5"/>
  <c r="L363" i="5"/>
  <c r="AA357" i="5"/>
  <c r="AA358" i="5"/>
  <c r="AB358" i="5"/>
  <c r="AF358" i="5" s="1"/>
  <c r="AJ358" i="5" s="1"/>
  <c r="AN358" i="5" s="1"/>
  <c r="P361" i="5"/>
  <c r="L361" i="5"/>
  <c r="P362" i="5"/>
  <c r="L362" i="5"/>
  <c r="T359" i="5" l="1"/>
  <c r="U359" i="5"/>
  <c r="T409" i="5"/>
  <c r="U409" i="5"/>
  <c r="U407" i="5"/>
  <c r="T407" i="5"/>
  <c r="T405" i="5"/>
  <c r="U405" i="5"/>
  <c r="T401" i="5"/>
  <c r="U401" i="5"/>
  <c r="U399" i="5"/>
  <c r="T399" i="5"/>
  <c r="V362" i="5"/>
  <c r="T362" i="5"/>
  <c r="U362" i="5"/>
  <c r="U364" i="5"/>
  <c r="T364" i="5"/>
  <c r="T408" i="5"/>
  <c r="U408" i="5"/>
  <c r="T406" i="5"/>
  <c r="U406" i="5"/>
  <c r="U404" i="5"/>
  <c r="T404" i="5"/>
  <c r="T398" i="5"/>
  <c r="U398" i="5"/>
  <c r="S361" i="5"/>
  <c r="T361" i="5"/>
  <c r="U361" i="5"/>
  <c r="U357" i="5"/>
  <c r="T357" i="5"/>
  <c r="S363" i="5"/>
  <c r="T363" i="5"/>
  <c r="U363" i="5"/>
  <c r="U403" i="5"/>
  <c r="T403" i="5"/>
  <c r="T397" i="5"/>
  <c r="U397" i="5"/>
  <c r="U395" i="5"/>
  <c r="T395" i="5"/>
  <c r="U360" i="5"/>
  <c r="T360" i="5"/>
  <c r="T358" i="5"/>
  <c r="U358" i="5"/>
  <c r="T410" i="5"/>
  <c r="U410" i="5"/>
  <c r="T402" i="5"/>
  <c r="U402" i="5"/>
  <c r="T400" i="5"/>
  <c r="U400" i="5"/>
  <c r="U396" i="5"/>
  <c r="T396" i="5"/>
  <c r="S411" i="5"/>
  <c r="U411" i="5"/>
  <c r="T411" i="5"/>
  <c r="AL264" i="5"/>
  <c r="AH264" i="5"/>
  <c r="AD264" i="5"/>
  <c r="AN310" i="5"/>
  <c r="AL310" i="5" s="1"/>
  <c r="AH310" i="5"/>
  <c r="V363" i="5"/>
  <c r="Z405" i="5"/>
  <c r="AE405" i="5"/>
  <c r="Z358" i="5"/>
  <c r="AE358" i="5"/>
  <c r="AD358" i="5" s="1"/>
  <c r="Z395" i="5"/>
  <c r="AE395" i="5"/>
  <c r="AD310" i="5"/>
  <c r="AE357" i="5"/>
  <c r="V361" i="5"/>
  <c r="AM48" i="5"/>
  <c r="AL48" i="5" s="1"/>
  <c r="AH48" i="5"/>
  <c r="V411" i="5"/>
  <c r="R411" i="5"/>
  <c r="S362" i="5"/>
  <c r="L411" i="5"/>
  <c r="P411" i="5"/>
  <c r="Q411" i="5"/>
  <c r="W411" i="5"/>
  <c r="R363" i="5"/>
  <c r="R361" i="5"/>
  <c r="R362" i="5"/>
  <c r="AA356" i="5"/>
  <c r="AB356" i="5"/>
  <c r="AF356" i="5" s="1"/>
  <c r="AJ356" i="5" s="1"/>
  <c r="AN356" i="5" s="1"/>
  <c r="V355" i="5"/>
  <c r="P355" i="5"/>
  <c r="L355" i="5"/>
  <c r="L265" i="5"/>
  <c r="R265" i="5"/>
  <c r="T354" i="5" l="1"/>
  <c r="U354" i="5"/>
  <c r="T350" i="5"/>
  <c r="U350" i="5"/>
  <c r="U353" i="5"/>
  <c r="T353" i="5"/>
  <c r="T349" i="5"/>
  <c r="U349" i="5"/>
  <c r="U356" i="5"/>
  <c r="T356" i="5"/>
  <c r="U352" i="5"/>
  <c r="T352" i="5"/>
  <c r="U348" i="5"/>
  <c r="T348" i="5"/>
  <c r="S355" i="5"/>
  <c r="T355" i="5"/>
  <c r="U355" i="5"/>
  <c r="T351" i="5"/>
  <c r="U351" i="5"/>
  <c r="AI357" i="5"/>
  <c r="AM357" i="5" s="1"/>
  <c r="AI358" i="5"/>
  <c r="AH358" i="5" s="1"/>
  <c r="Z356" i="5"/>
  <c r="AE356" i="5"/>
  <c r="AI395" i="5"/>
  <c r="AD395" i="5"/>
  <c r="AI405" i="5"/>
  <c r="AD405" i="5"/>
  <c r="X411" i="5"/>
  <c r="R355" i="5"/>
  <c r="Q265" i="5"/>
  <c r="W265" i="5"/>
  <c r="S265" i="5"/>
  <c r="P265" i="5"/>
  <c r="V265" i="5"/>
  <c r="AM358" i="5" l="1"/>
  <c r="AL358" i="5" s="1"/>
  <c r="AM405" i="5"/>
  <c r="AL405" i="5" s="1"/>
  <c r="AH405" i="5"/>
  <c r="AD356" i="5"/>
  <c r="AI356" i="5"/>
  <c r="AM395" i="5"/>
  <c r="AL395" i="5" s="1"/>
  <c r="AH395" i="5"/>
  <c r="X265" i="5"/>
  <c r="AH356" i="5" l="1"/>
  <c r="AM356" i="5"/>
  <c r="AL356" i="5" s="1"/>
  <c r="W190" i="5" l="1"/>
  <c r="V190" i="5"/>
  <c r="Q190" i="5"/>
  <c r="P190" i="5"/>
  <c r="M190" i="5"/>
  <c r="L184" i="5"/>
  <c r="V141" i="5"/>
  <c r="L141" i="5"/>
  <c r="V142" i="5"/>
  <c r="L142" i="5"/>
  <c r="J142" i="5"/>
  <c r="P143" i="5"/>
  <c r="V143" i="5"/>
  <c r="M142" i="5"/>
  <c r="U64" i="5" l="1"/>
  <c r="T64" i="5"/>
  <c r="T48" i="5"/>
  <c r="U48" i="5"/>
  <c r="T44" i="5"/>
  <c r="U44" i="5"/>
  <c r="T40" i="5"/>
  <c r="U40" i="5"/>
  <c r="T36" i="5"/>
  <c r="U36" i="5"/>
  <c r="T34" i="5"/>
  <c r="U34" i="5"/>
  <c r="T24" i="5"/>
  <c r="U24" i="5"/>
  <c r="T22" i="5"/>
  <c r="U22" i="5"/>
  <c r="U60" i="5"/>
  <c r="T60" i="5"/>
  <c r="U55" i="5"/>
  <c r="T55" i="5"/>
  <c r="U47" i="5"/>
  <c r="T47" i="5"/>
  <c r="U43" i="5"/>
  <c r="T43" i="5"/>
  <c r="U39" i="5"/>
  <c r="T39" i="5"/>
  <c r="U35" i="5"/>
  <c r="T35" i="5"/>
  <c r="U33" i="5"/>
  <c r="T33" i="5"/>
  <c r="U57" i="5"/>
  <c r="U53" i="5"/>
  <c r="T53" i="5"/>
  <c r="U51" i="5"/>
  <c r="T51" i="5"/>
  <c r="U49" i="5"/>
  <c r="T49" i="5"/>
  <c r="T45" i="5"/>
  <c r="U45" i="5"/>
  <c r="U41" i="5"/>
  <c r="T41" i="5"/>
  <c r="T37" i="5"/>
  <c r="U37" i="5"/>
  <c r="U31" i="5"/>
  <c r="T31" i="5"/>
  <c r="T29" i="5"/>
  <c r="U29" i="5"/>
  <c r="U25" i="5"/>
  <c r="T25" i="5"/>
  <c r="U23" i="5"/>
  <c r="T23" i="5"/>
  <c r="T20" i="5"/>
  <c r="U20" i="5"/>
  <c r="T56" i="5"/>
  <c r="U56" i="5"/>
  <c r="T52" i="5"/>
  <c r="U52" i="5"/>
  <c r="U30" i="5"/>
  <c r="T30" i="5"/>
  <c r="U63" i="5"/>
  <c r="T63" i="5"/>
  <c r="U59" i="5"/>
  <c r="U54" i="5"/>
  <c r="T54" i="5"/>
  <c r="T50" i="5"/>
  <c r="U50" i="5"/>
  <c r="U46" i="5"/>
  <c r="T46" i="5"/>
  <c r="T42" i="5"/>
  <c r="U42" i="5"/>
  <c r="U38" i="5"/>
  <c r="T38" i="5"/>
  <c r="T32" i="5"/>
  <c r="U32" i="5"/>
  <c r="T28" i="5"/>
  <c r="U28" i="5"/>
  <c r="U21" i="5"/>
  <c r="T21" i="5"/>
  <c r="R184" i="5"/>
  <c r="T184" i="5"/>
  <c r="U184" i="5"/>
  <c r="AA60" i="5"/>
  <c r="AB60" i="5"/>
  <c r="X190" i="5"/>
  <c r="P184" i="5"/>
  <c r="S184" i="5"/>
  <c r="V184" i="5"/>
  <c r="P141" i="5"/>
  <c r="Q184" i="5"/>
  <c r="W184" i="5"/>
  <c r="R142" i="5"/>
  <c r="S143" i="5"/>
  <c r="S141" i="5"/>
  <c r="S142" i="5"/>
  <c r="W141" i="5"/>
  <c r="R141" i="5"/>
  <c r="P142" i="5"/>
  <c r="Q142" i="5"/>
  <c r="W142" i="5"/>
  <c r="L143" i="5"/>
  <c r="R143" i="5"/>
  <c r="Q143" i="5"/>
  <c r="W143" i="5"/>
  <c r="Q141" i="5"/>
  <c r="AB463" i="5" l="1"/>
  <c r="AF60" i="5"/>
  <c r="AA463" i="5"/>
  <c r="Z60" i="5"/>
  <c r="Z463" i="5" s="1"/>
  <c r="AE60" i="5"/>
  <c r="X141" i="5"/>
  <c r="X184" i="5"/>
  <c r="X142" i="5"/>
  <c r="X143" i="5"/>
  <c r="AJ60" i="5" l="1"/>
  <c r="AF463" i="5"/>
  <c r="AI60" i="5"/>
  <c r="AD60" i="5"/>
  <c r="AD463" i="5" s="1"/>
  <c r="AE463" i="5"/>
  <c r="AI463" i="5" l="1"/>
  <c r="AM60" i="5"/>
  <c r="AH60" i="5"/>
  <c r="AH463" i="5" s="1"/>
  <c r="AN60" i="5"/>
  <c r="AN463" i="5" s="1"/>
  <c r="AJ463" i="5"/>
  <c r="AB190" i="5"/>
  <c r="AF190" i="5" s="1"/>
  <c r="AJ190" i="5" s="1"/>
  <c r="AN190" i="5" s="1"/>
  <c r="AM463" i="5" l="1"/>
  <c r="AL60" i="5"/>
  <c r="AL463" i="5" s="1"/>
  <c r="S190" i="5"/>
  <c r="K162" i="1" l="1"/>
  <c r="H114" i="1"/>
  <c r="H115" i="1"/>
  <c r="AB86" i="5"/>
  <c r="AF86" i="5" s="1"/>
  <c r="AJ86" i="5" s="1"/>
  <c r="AN86" i="5" s="1"/>
  <c r="H65" i="1" l="1"/>
  <c r="N65" i="1" s="1"/>
  <c r="H64" i="1"/>
  <c r="H102" i="1"/>
  <c r="O102" i="1" s="1"/>
  <c r="F104" i="1"/>
  <c r="K131" i="1"/>
  <c r="K123" i="1"/>
  <c r="K159" i="1"/>
  <c r="O159" i="1"/>
  <c r="I159" i="1"/>
  <c r="N159" i="1"/>
  <c r="K160" i="1"/>
  <c r="N160" i="1"/>
  <c r="O160" i="1"/>
  <c r="I160" i="1"/>
  <c r="N162" i="1"/>
  <c r="I162" i="1"/>
  <c r="O162" i="1"/>
  <c r="N131" i="1"/>
  <c r="I131" i="1"/>
  <c r="N123" i="1"/>
  <c r="I123" i="1"/>
  <c r="H74" i="1" l="1"/>
  <c r="H89" i="5"/>
  <c r="H96" i="5"/>
  <c r="N64" i="1"/>
  <c r="I64" i="1"/>
  <c r="O64" i="1"/>
  <c r="K64" i="1"/>
  <c r="K65" i="1"/>
  <c r="I65" i="1"/>
  <c r="O65" i="1"/>
  <c r="P162" i="1"/>
  <c r="Q162" i="1" s="1"/>
  <c r="P159" i="1"/>
  <c r="Q159" i="1" s="1"/>
  <c r="P160" i="1"/>
  <c r="Q160" i="1" s="1"/>
  <c r="P131" i="1"/>
  <c r="Q131" i="1" s="1"/>
  <c r="P123" i="1"/>
  <c r="Q123" i="1" s="1"/>
  <c r="O74" i="1" l="1"/>
  <c r="N74" i="1"/>
  <c r="K74" i="1"/>
  <c r="I74" i="1"/>
  <c r="P65" i="1"/>
  <c r="P64" i="1"/>
  <c r="G91" i="5"/>
  <c r="T91" i="5"/>
  <c r="AA91" i="5"/>
  <c r="AB90" i="5"/>
  <c r="AF90" i="5" s="1"/>
  <c r="AJ90" i="5" s="1"/>
  <c r="AN90" i="5" s="1"/>
  <c r="S105" i="5"/>
  <c r="AB105" i="5"/>
  <c r="AF105" i="5" s="1"/>
  <c r="AJ105" i="5" s="1"/>
  <c r="AN105" i="5" s="1"/>
  <c r="R136" i="6"/>
  <c r="S136" i="6"/>
  <c r="I412" i="5" s="1"/>
  <c r="AB412" i="5" s="1"/>
  <c r="AF412" i="5" s="1"/>
  <c r="AJ412" i="5" s="1"/>
  <c r="AN412" i="5" s="1"/>
  <c r="R138" i="6"/>
  <c r="Q138" i="6" s="1"/>
  <c r="R139" i="6"/>
  <c r="S139" i="6"/>
  <c r="AB406" i="5"/>
  <c r="AF406" i="5" s="1"/>
  <c r="AJ406" i="5" s="1"/>
  <c r="AN406" i="5" s="1"/>
  <c r="H407" i="5"/>
  <c r="AA407" i="5" s="1"/>
  <c r="G401" i="5"/>
  <c r="I400" i="5"/>
  <c r="AB400" i="5" s="1"/>
  <c r="AF400" i="5" s="1"/>
  <c r="AJ400" i="5" s="1"/>
  <c r="AN400" i="5" s="1"/>
  <c r="H400" i="5"/>
  <c r="AA400" i="5" s="1"/>
  <c r="S123" i="6"/>
  <c r="I399" i="5" s="1"/>
  <c r="R123" i="6"/>
  <c r="H399" i="5" s="1"/>
  <c r="I396" i="5"/>
  <c r="H396" i="5"/>
  <c r="S118" i="6"/>
  <c r="R118" i="6"/>
  <c r="Q119" i="6"/>
  <c r="G395" i="5" s="1"/>
  <c r="Q110" i="6"/>
  <c r="G358" i="5" s="1"/>
  <c r="Q108" i="6"/>
  <c r="G356" i="5" s="1"/>
  <c r="S94" i="6"/>
  <c r="I324" i="5" s="1"/>
  <c r="R94" i="6"/>
  <c r="H324" i="5" s="1"/>
  <c r="Q96" i="6"/>
  <c r="Q95" i="6"/>
  <c r="R107" i="6"/>
  <c r="S116" i="6"/>
  <c r="I364" i="5" s="1"/>
  <c r="R116" i="6"/>
  <c r="H364" i="5" s="1"/>
  <c r="S115" i="6"/>
  <c r="I363" i="5" s="1"/>
  <c r="R115" i="6"/>
  <c r="H363" i="5" s="1"/>
  <c r="S114" i="6"/>
  <c r="I362" i="5" s="1"/>
  <c r="R114" i="6"/>
  <c r="H362" i="5" s="1"/>
  <c r="S113" i="6"/>
  <c r="I361" i="5" s="1"/>
  <c r="R113" i="6"/>
  <c r="H361" i="5" s="1"/>
  <c r="S112" i="6"/>
  <c r="I360" i="5" s="1"/>
  <c r="R112" i="6"/>
  <c r="H360" i="5" s="1"/>
  <c r="AB359" i="5"/>
  <c r="AF359" i="5" s="1"/>
  <c r="AJ359" i="5" s="1"/>
  <c r="AN359" i="5" s="1"/>
  <c r="R111" i="6"/>
  <c r="H359" i="5" s="1"/>
  <c r="S106" i="6"/>
  <c r="I354" i="5" s="1"/>
  <c r="R106" i="6"/>
  <c r="H354" i="5" s="1"/>
  <c r="S105" i="6"/>
  <c r="I353" i="5" s="1"/>
  <c r="R105" i="6"/>
  <c r="H353" i="5" s="1"/>
  <c r="I352" i="5"/>
  <c r="R104" i="6"/>
  <c r="H352" i="5" s="1"/>
  <c r="S103" i="6"/>
  <c r="I351" i="5" s="1"/>
  <c r="R103" i="6"/>
  <c r="H351" i="5" s="1"/>
  <c r="S102" i="6"/>
  <c r="I350" i="5" s="1"/>
  <c r="R102" i="6"/>
  <c r="H350" i="5" s="1"/>
  <c r="S101" i="6"/>
  <c r="I349" i="5" s="1"/>
  <c r="R101" i="6"/>
  <c r="H349" i="5" s="1"/>
  <c r="S100" i="6"/>
  <c r="I348" i="5" s="1"/>
  <c r="R100" i="6"/>
  <c r="H348" i="5" s="1"/>
  <c r="S99" i="6"/>
  <c r="R99" i="6"/>
  <c r="S92" i="6"/>
  <c r="R92" i="6"/>
  <c r="S91" i="6"/>
  <c r="I315" i="5" s="1"/>
  <c r="R91" i="6"/>
  <c r="H315" i="5" s="1"/>
  <c r="S90" i="6"/>
  <c r="I314" i="5" s="1"/>
  <c r="R90" i="6"/>
  <c r="H314" i="5" s="1"/>
  <c r="S89" i="6"/>
  <c r="I313" i="5" s="1"/>
  <c r="R89" i="6"/>
  <c r="H313" i="5" s="1"/>
  <c r="S88" i="6"/>
  <c r="I312" i="5" s="1"/>
  <c r="R88" i="6"/>
  <c r="H312" i="5" s="1"/>
  <c r="AB309" i="5"/>
  <c r="AF309" i="5" s="1"/>
  <c r="AJ309" i="5" s="1"/>
  <c r="AN309" i="5" s="1"/>
  <c r="AA309" i="5"/>
  <c r="AB308" i="5"/>
  <c r="AF308" i="5" s="1"/>
  <c r="AJ308" i="5" s="1"/>
  <c r="AN308" i="5" s="1"/>
  <c r="AA308" i="5"/>
  <c r="Q79" i="6"/>
  <c r="G303" i="5" s="1"/>
  <c r="S83" i="6"/>
  <c r="I307" i="5" s="1"/>
  <c r="AB307" i="5" s="1"/>
  <c r="AF307" i="5" s="1"/>
  <c r="AJ307" i="5" s="1"/>
  <c r="AN307" i="5" s="1"/>
  <c r="R83" i="6"/>
  <c r="H307" i="5" s="1"/>
  <c r="AA307" i="5" s="1"/>
  <c r="S81" i="6"/>
  <c r="I305" i="5" s="1"/>
  <c r="R81" i="6"/>
  <c r="H305" i="5" s="1"/>
  <c r="S80" i="6"/>
  <c r="I304" i="5" s="1"/>
  <c r="R80" i="6"/>
  <c r="H304" i="5" s="1"/>
  <c r="S78" i="6"/>
  <c r="I302" i="5" s="1"/>
  <c r="R78" i="6"/>
  <c r="H302" i="5" s="1"/>
  <c r="Q62" i="6"/>
  <c r="G256" i="5" s="1"/>
  <c r="Q24" i="6"/>
  <c r="G121" i="5" s="1"/>
  <c r="Q28" i="6"/>
  <c r="G125" i="5" s="1"/>
  <c r="Q32" i="6"/>
  <c r="G129" i="5" s="1"/>
  <c r="S12" i="6"/>
  <c r="I109" i="5" s="1"/>
  <c r="R12" i="6"/>
  <c r="H109" i="5" s="1"/>
  <c r="Q87" i="6"/>
  <c r="S77" i="6"/>
  <c r="I301" i="5" s="1"/>
  <c r="R77" i="6"/>
  <c r="H301" i="5" s="1"/>
  <c r="S76" i="6"/>
  <c r="I300" i="5" s="1"/>
  <c r="R76" i="6"/>
  <c r="H300" i="5" s="1"/>
  <c r="S75" i="6"/>
  <c r="R75" i="6"/>
  <c r="S74" i="6"/>
  <c r="I271" i="5" s="1"/>
  <c r="R74" i="6"/>
  <c r="H271" i="5" s="1"/>
  <c r="S73" i="6"/>
  <c r="I270" i="5" s="1"/>
  <c r="R73" i="6"/>
  <c r="H270" i="5" s="1"/>
  <c r="S71" i="6"/>
  <c r="I268" i="5" s="1"/>
  <c r="R71" i="6"/>
  <c r="H268" i="5" s="1"/>
  <c r="S70" i="6"/>
  <c r="I267" i="5" s="1"/>
  <c r="R70" i="6"/>
  <c r="H267" i="5" s="1"/>
  <c r="S68" i="6"/>
  <c r="I265" i="5" s="1"/>
  <c r="R68" i="6"/>
  <c r="H265" i="5" s="1"/>
  <c r="R69" i="6"/>
  <c r="H266" i="5" s="1"/>
  <c r="S69" i="6"/>
  <c r="I266" i="5" s="1"/>
  <c r="O13" i="6"/>
  <c r="O14" i="6"/>
  <c r="O15" i="6"/>
  <c r="O16" i="6"/>
  <c r="O17" i="6"/>
  <c r="O18" i="6"/>
  <c r="O19" i="6"/>
  <c r="O20" i="6"/>
  <c r="O21" i="6"/>
  <c r="O22" i="6"/>
  <c r="O24" i="6"/>
  <c r="O25" i="6"/>
  <c r="O26" i="6"/>
  <c r="O28" i="6"/>
  <c r="O29" i="6"/>
  <c r="O30" i="6"/>
  <c r="O31" i="6"/>
  <c r="O32" i="6"/>
  <c r="O33" i="6"/>
  <c r="O34" i="6"/>
  <c r="O36" i="6"/>
  <c r="O37" i="6"/>
  <c r="O40" i="6"/>
  <c r="O41" i="6"/>
  <c r="O43" i="6"/>
  <c r="O44" i="6"/>
  <c r="O45" i="6"/>
  <c r="O46" i="6"/>
  <c r="O47" i="6"/>
  <c r="O48" i="6"/>
  <c r="O49" i="6"/>
  <c r="O50" i="6"/>
  <c r="O51" i="6"/>
  <c r="O52" i="6"/>
  <c r="O54" i="6"/>
  <c r="O55" i="6"/>
  <c r="O56" i="6"/>
  <c r="O57" i="6"/>
  <c r="O60" i="6"/>
  <c r="O61" i="6"/>
  <c r="R61" i="6" s="1"/>
  <c r="O62" i="6"/>
  <c r="O63" i="6"/>
  <c r="O66" i="6"/>
  <c r="O67" i="6"/>
  <c r="O68" i="6"/>
  <c r="O69" i="6"/>
  <c r="O70" i="6"/>
  <c r="O71" i="6"/>
  <c r="O72" i="6"/>
  <c r="O73" i="6"/>
  <c r="O74" i="6"/>
  <c r="O75" i="6"/>
  <c r="O76" i="6"/>
  <c r="O77" i="6"/>
  <c r="O78" i="6"/>
  <c r="O79" i="6"/>
  <c r="O80" i="6"/>
  <c r="O81" i="6"/>
  <c r="O83" i="6"/>
  <c r="O84" i="6"/>
  <c r="O85" i="6"/>
  <c r="O86" i="6"/>
  <c r="O87" i="6"/>
  <c r="O88" i="6"/>
  <c r="O89" i="6"/>
  <c r="O90" i="6"/>
  <c r="O91" i="6"/>
  <c r="O92" i="6"/>
  <c r="O94" i="6"/>
  <c r="O95" i="6"/>
  <c r="O96" i="6"/>
  <c r="O97" i="6"/>
  <c r="O98" i="6"/>
  <c r="O99" i="6"/>
  <c r="O100" i="6"/>
  <c r="O101" i="6"/>
  <c r="O102" i="6"/>
  <c r="O103" i="6"/>
  <c r="O104" i="6"/>
  <c r="O105" i="6"/>
  <c r="O106" i="6"/>
  <c r="O107" i="6"/>
  <c r="O108" i="6"/>
  <c r="O109" i="6"/>
  <c r="O110" i="6"/>
  <c r="O111" i="6"/>
  <c r="O112" i="6"/>
  <c r="O113" i="6"/>
  <c r="O114" i="6"/>
  <c r="O115" i="6"/>
  <c r="O116" i="6"/>
  <c r="O117" i="6"/>
  <c r="O118" i="6"/>
  <c r="O119" i="6"/>
  <c r="O120" i="6"/>
  <c r="O121" i="6"/>
  <c r="O123" i="6"/>
  <c r="O124" i="6"/>
  <c r="O125" i="6"/>
  <c r="O126" i="6"/>
  <c r="O127" i="6"/>
  <c r="O128" i="6"/>
  <c r="O129" i="6"/>
  <c r="O130" i="6"/>
  <c r="O131" i="6"/>
  <c r="O132" i="6"/>
  <c r="O133" i="6"/>
  <c r="O134" i="6"/>
  <c r="O135" i="6"/>
  <c r="O136" i="6"/>
  <c r="O137" i="6"/>
  <c r="R137" i="6" s="1"/>
  <c r="O138" i="6"/>
  <c r="O139" i="6"/>
  <c r="O140" i="6"/>
  <c r="O141" i="6"/>
  <c r="O142" i="6"/>
  <c r="O143" i="6"/>
  <c r="I184" i="5"/>
  <c r="S33" i="6"/>
  <c r="I130" i="5" s="1"/>
  <c r="R33" i="6"/>
  <c r="H130" i="5" s="1"/>
  <c r="S13" i="6"/>
  <c r="I110" i="5" s="1"/>
  <c r="R13" i="6"/>
  <c r="H110" i="5" s="1"/>
  <c r="S22" i="6"/>
  <c r="I119" i="5" s="1"/>
  <c r="AA122" i="5"/>
  <c r="AB122" i="5"/>
  <c r="AF122" i="5" s="1"/>
  <c r="AJ122" i="5" s="1"/>
  <c r="AN122" i="5" s="1"/>
  <c r="S29" i="6"/>
  <c r="I126" i="5" s="1"/>
  <c r="R30" i="6"/>
  <c r="H127" i="5" s="1"/>
  <c r="S30" i="6"/>
  <c r="I127" i="5" s="1"/>
  <c r="AA114" i="5"/>
  <c r="AB114" i="5"/>
  <c r="AF114" i="5" s="1"/>
  <c r="AJ114" i="5" s="1"/>
  <c r="AN114" i="5" s="1"/>
  <c r="R20" i="6"/>
  <c r="H117" i="5" s="1"/>
  <c r="Q37" i="8"/>
  <c r="I45" i="5" s="1"/>
  <c r="Q36" i="8"/>
  <c r="I44" i="5" s="1"/>
  <c r="P36" i="8"/>
  <c r="H44" i="5" s="1"/>
  <c r="P28" i="8"/>
  <c r="H36" i="5" s="1"/>
  <c r="Q28" i="8"/>
  <c r="I36" i="5" s="1"/>
  <c r="P29" i="8"/>
  <c r="H37" i="5" s="1"/>
  <c r="Q29" i="8"/>
  <c r="I37" i="5" s="1"/>
  <c r="P30" i="8"/>
  <c r="H38" i="5" s="1"/>
  <c r="Q30" i="8"/>
  <c r="I38" i="5" s="1"/>
  <c r="P31" i="8"/>
  <c r="H39" i="5" s="1"/>
  <c r="P32" i="8"/>
  <c r="H40" i="5" s="1"/>
  <c r="Q32" i="8"/>
  <c r="I40" i="5" s="1"/>
  <c r="P33" i="8"/>
  <c r="H41" i="5" s="1"/>
  <c r="Q33" i="8"/>
  <c r="I41" i="5" s="1"/>
  <c r="P34" i="8"/>
  <c r="H42" i="5" s="1"/>
  <c r="Q34" i="8"/>
  <c r="O59" i="8"/>
  <c r="G67" i="5" s="1"/>
  <c r="O24" i="8"/>
  <c r="G32" i="5" s="1"/>
  <c r="AB31" i="5"/>
  <c r="AF31" i="5" s="1"/>
  <c r="AJ31" i="5" s="1"/>
  <c r="AN31" i="5" s="1"/>
  <c r="AA31" i="5"/>
  <c r="P46" i="8"/>
  <c r="H54" i="5" s="1"/>
  <c r="AB25" i="5"/>
  <c r="AF25" i="5" s="1"/>
  <c r="AJ25" i="5" s="1"/>
  <c r="AN25" i="5" s="1"/>
  <c r="AA25" i="5"/>
  <c r="P44" i="8"/>
  <c r="H52" i="5" s="1"/>
  <c r="P43" i="8"/>
  <c r="H51" i="5" s="1"/>
  <c r="P42" i="8"/>
  <c r="W14" i="8"/>
  <c r="W16" i="8"/>
  <c r="W21" i="8"/>
  <c r="P58" i="8"/>
  <c r="H66" i="5" s="1"/>
  <c r="S126" i="6" l="1"/>
  <c r="R126" i="6"/>
  <c r="H402" i="5" s="1"/>
  <c r="H50" i="5"/>
  <c r="I42" i="5"/>
  <c r="AB42" i="5" s="1"/>
  <c r="AF42" i="5" s="1"/>
  <c r="AJ42" i="5" s="1"/>
  <c r="AN42" i="5" s="1"/>
  <c r="H355" i="5"/>
  <c r="Q355" i="5" s="1"/>
  <c r="P74" i="1"/>
  <c r="Q29" i="6"/>
  <c r="G126" i="5" s="1"/>
  <c r="R134" i="6"/>
  <c r="H410" i="5" s="1"/>
  <c r="AA410" i="5" s="1"/>
  <c r="AE410" i="5" s="1"/>
  <c r="S134" i="6"/>
  <c r="I410" i="5" s="1"/>
  <c r="AB410" i="5" s="1"/>
  <c r="AF410" i="5" s="1"/>
  <c r="AJ410" i="5" s="1"/>
  <c r="AN410" i="5" s="1"/>
  <c r="I402" i="5"/>
  <c r="S61" i="6"/>
  <c r="S135" i="6"/>
  <c r="I411" i="5" s="1"/>
  <c r="AB411" i="5" s="1"/>
  <c r="AF411" i="5" s="1"/>
  <c r="AJ411" i="5" s="1"/>
  <c r="AN411" i="5" s="1"/>
  <c r="R135" i="6"/>
  <c r="H411" i="5" s="1"/>
  <c r="AA411" i="5" s="1"/>
  <c r="AE411" i="5" s="1"/>
  <c r="S137" i="6"/>
  <c r="O36" i="8"/>
  <c r="G44" i="5" s="1"/>
  <c r="Q139" i="6"/>
  <c r="G428" i="5" s="1"/>
  <c r="L91" i="5"/>
  <c r="J91" i="5"/>
  <c r="Z91" i="5"/>
  <c r="AE91" i="5"/>
  <c r="V87" i="6"/>
  <c r="G311" i="5"/>
  <c r="U32" i="6"/>
  <c r="G264" i="5"/>
  <c r="AE307" i="5"/>
  <c r="Z307" i="5"/>
  <c r="G324" i="5"/>
  <c r="Z407" i="5"/>
  <c r="AE407" i="5"/>
  <c r="Q136" i="6"/>
  <c r="G412" i="5" s="1"/>
  <c r="H412" i="5"/>
  <c r="AA412" i="5" s="1"/>
  <c r="AE400" i="5"/>
  <c r="Z400" i="5"/>
  <c r="AA40" i="5"/>
  <c r="AE40" i="5" s="1"/>
  <c r="AB47" i="5"/>
  <c r="AF47" i="5" s="1"/>
  <c r="AJ47" i="5" s="1"/>
  <c r="AN47" i="5" s="1"/>
  <c r="AB43" i="5"/>
  <c r="AF43" i="5" s="1"/>
  <c r="AJ43" i="5" s="1"/>
  <c r="AN43" i="5" s="1"/>
  <c r="AA44" i="5"/>
  <c r="AE44" i="5" s="1"/>
  <c r="AA42" i="5"/>
  <c r="AE42" i="5" s="1"/>
  <c r="AA38" i="5"/>
  <c r="AE38" i="5" s="1"/>
  <c r="AB45" i="5"/>
  <c r="AF45" i="5" s="1"/>
  <c r="AJ45" i="5" s="1"/>
  <c r="AN45" i="5" s="1"/>
  <c r="AB41" i="5"/>
  <c r="AF41" i="5" s="1"/>
  <c r="AJ41" i="5" s="1"/>
  <c r="AN41" i="5" s="1"/>
  <c r="AB39" i="5"/>
  <c r="AF39" i="5" s="1"/>
  <c r="AJ39" i="5" s="1"/>
  <c r="AN39" i="5" s="1"/>
  <c r="AA45" i="5"/>
  <c r="AE45" i="5" s="1"/>
  <c r="AA43" i="5"/>
  <c r="AE43" i="5" s="1"/>
  <c r="AA41" i="5"/>
  <c r="AE41" i="5" s="1"/>
  <c r="AA39" i="5"/>
  <c r="AE39" i="5" s="1"/>
  <c r="AB44" i="5"/>
  <c r="AF44" i="5" s="1"/>
  <c r="AJ44" i="5" s="1"/>
  <c r="AN44" i="5" s="1"/>
  <c r="AB40" i="5"/>
  <c r="AF40" i="5" s="1"/>
  <c r="AJ40" i="5" s="1"/>
  <c r="AN40" i="5" s="1"/>
  <c r="AB38" i="5"/>
  <c r="AF38" i="5" s="1"/>
  <c r="AJ38" i="5" s="1"/>
  <c r="AN38" i="5" s="1"/>
  <c r="AA301" i="5"/>
  <c r="AE301" i="5" s="1"/>
  <c r="AA302" i="5"/>
  <c r="AE302" i="5" s="1"/>
  <c r="AA117" i="5"/>
  <c r="AE117" i="5" s="1"/>
  <c r="AB110" i="5"/>
  <c r="AF110" i="5" s="1"/>
  <c r="AJ110" i="5" s="1"/>
  <c r="AN110" i="5" s="1"/>
  <c r="AA266" i="5"/>
  <c r="AE266" i="5" s="1"/>
  <c r="AB268" i="5"/>
  <c r="AF268" i="5" s="1"/>
  <c r="AJ268" i="5" s="1"/>
  <c r="AN268" i="5" s="1"/>
  <c r="AB271" i="5"/>
  <c r="AF271" i="5" s="1"/>
  <c r="AJ271" i="5" s="1"/>
  <c r="AN271" i="5" s="1"/>
  <c r="AB300" i="5"/>
  <c r="AF300" i="5" s="1"/>
  <c r="AJ300" i="5" s="1"/>
  <c r="AN300" i="5" s="1"/>
  <c r="AB304" i="5"/>
  <c r="AF304" i="5" s="1"/>
  <c r="AJ304" i="5" s="1"/>
  <c r="AN304" i="5" s="1"/>
  <c r="AB306" i="5"/>
  <c r="AF306" i="5" s="1"/>
  <c r="AJ306" i="5" s="1"/>
  <c r="AN306" i="5" s="1"/>
  <c r="AA312" i="5"/>
  <c r="AE312" i="5" s="1"/>
  <c r="AA314" i="5"/>
  <c r="AE314" i="5" s="1"/>
  <c r="Q99" i="6"/>
  <c r="T99" i="6" s="1"/>
  <c r="AB396" i="5"/>
  <c r="AF396" i="5" s="1"/>
  <c r="AJ396" i="5" s="1"/>
  <c r="AN396" i="5" s="1"/>
  <c r="AB398" i="5"/>
  <c r="AF398" i="5" s="1"/>
  <c r="AJ398" i="5" s="1"/>
  <c r="AN398" i="5" s="1"/>
  <c r="AA401" i="5"/>
  <c r="AB349" i="5"/>
  <c r="AF349" i="5" s="1"/>
  <c r="AJ349" i="5" s="1"/>
  <c r="AN349" i="5" s="1"/>
  <c r="AB351" i="5"/>
  <c r="AF351" i="5" s="1"/>
  <c r="AJ351" i="5" s="1"/>
  <c r="AN351" i="5" s="1"/>
  <c r="AB353" i="5"/>
  <c r="AF353" i="5" s="1"/>
  <c r="AJ353" i="5" s="1"/>
  <c r="AN353" i="5" s="1"/>
  <c r="AB361" i="5"/>
  <c r="AF361" i="5" s="1"/>
  <c r="AJ361" i="5" s="1"/>
  <c r="AN361" i="5" s="1"/>
  <c r="W363" i="5"/>
  <c r="AA399" i="5"/>
  <c r="AB401" i="5"/>
  <c r="AF401" i="5" s="1"/>
  <c r="AJ401" i="5" s="1"/>
  <c r="AN401" i="5" s="1"/>
  <c r="AA305" i="5"/>
  <c r="AE305" i="5" s="1"/>
  <c r="AB312" i="5"/>
  <c r="AF312" i="5" s="1"/>
  <c r="AJ312" i="5" s="1"/>
  <c r="AN312" i="5" s="1"/>
  <c r="AB265" i="5"/>
  <c r="AF265" i="5" s="1"/>
  <c r="AJ265" i="5" s="1"/>
  <c r="AN265" i="5" s="1"/>
  <c r="AB267" i="5"/>
  <c r="AF267" i="5" s="1"/>
  <c r="AJ267" i="5" s="1"/>
  <c r="AN267" i="5" s="1"/>
  <c r="AB270" i="5"/>
  <c r="AF270" i="5" s="1"/>
  <c r="AJ270" i="5" s="1"/>
  <c r="AN270" i="5" s="1"/>
  <c r="AB301" i="5"/>
  <c r="AF301" i="5" s="1"/>
  <c r="AJ301" i="5" s="1"/>
  <c r="AN301" i="5" s="1"/>
  <c r="AB302" i="5"/>
  <c r="AF302" i="5" s="1"/>
  <c r="AJ302" i="5" s="1"/>
  <c r="AN302" i="5" s="1"/>
  <c r="AB305" i="5"/>
  <c r="AF305" i="5" s="1"/>
  <c r="AJ305" i="5" s="1"/>
  <c r="AN305" i="5" s="1"/>
  <c r="AA311" i="5"/>
  <c r="AE311" i="5" s="1"/>
  <c r="AA313" i="5"/>
  <c r="AE313" i="5" s="1"/>
  <c r="AA348" i="5"/>
  <c r="AE348" i="5" s="1"/>
  <c r="AA350" i="5"/>
  <c r="AE350" i="5" s="1"/>
  <c r="AA352" i="5"/>
  <c r="AE352" i="5" s="1"/>
  <c r="AA354" i="5"/>
  <c r="AE354" i="5" s="1"/>
  <c r="AA360" i="5"/>
  <c r="AE360" i="5" s="1"/>
  <c r="Q362" i="5"/>
  <c r="AA364" i="5"/>
  <c r="AE364" i="5" s="1"/>
  <c r="AB399" i="5"/>
  <c r="AF399" i="5" s="1"/>
  <c r="AJ399" i="5" s="1"/>
  <c r="AN399" i="5" s="1"/>
  <c r="AB314" i="5"/>
  <c r="AF314" i="5" s="1"/>
  <c r="AJ314" i="5" s="1"/>
  <c r="AN314" i="5" s="1"/>
  <c r="AA110" i="5"/>
  <c r="AE110" i="5" s="1"/>
  <c r="AB266" i="5"/>
  <c r="AF266" i="5" s="1"/>
  <c r="AJ266" i="5" s="1"/>
  <c r="AN266" i="5" s="1"/>
  <c r="AA300" i="5"/>
  <c r="AE300" i="5" s="1"/>
  <c r="AA304" i="5"/>
  <c r="AE304" i="5" s="1"/>
  <c r="AA306" i="5"/>
  <c r="AE306" i="5" s="1"/>
  <c r="AB311" i="5"/>
  <c r="AF311" i="5" s="1"/>
  <c r="AJ311" i="5" s="1"/>
  <c r="AN311" i="5" s="1"/>
  <c r="AB313" i="5"/>
  <c r="AF313" i="5" s="1"/>
  <c r="AJ313" i="5" s="1"/>
  <c r="AN313" i="5" s="1"/>
  <c r="AB348" i="5"/>
  <c r="AF348" i="5" s="1"/>
  <c r="AJ348" i="5" s="1"/>
  <c r="AN348" i="5" s="1"/>
  <c r="AB350" i="5"/>
  <c r="AF350" i="5" s="1"/>
  <c r="AJ350" i="5" s="1"/>
  <c r="AN350" i="5" s="1"/>
  <c r="AB352" i="5"/>
  <c r="AF352" i="5" s="1"/>
  <c r="AJ352" i="5" s="1"/>
  <c r="AN352" i="5" s="1"/>
  <c r="AB354" i="5"/>
  <c r="AF354" i="5" s="1"/>
  <c r="AJ354" i="5" s="1"/>
  <c r="AN354" i="5" s="1"/>
  <c r="AB360" i="5"/>
  <c r="AF360" i="5" s="1"/>
  <c r="AJ360" i="5" s="1"/>
  <c r="AN360" i="5" s="1"/>
  <c r="AB362" i="5"/>
  <c r="AF362" i="5" s="1"/>
  <c r="AJ362" i="5" s="1"/>
  <c r="AN362" i="5" s="1"/>
  <c r="AB364" i="5"/>
  <c r="AF364" i="5" s="1"/>
  <c r="AJ364" i="5" s="1"/>
  <c r="AN364" i="5" s="1"/>
  <c r="AA396" i="5"/>
  <c r="AB117" i="5"/>
  <c r="AF117" i="5" s="1"/>
  <c r="AJ117" i="5" s="1"/>
  <c r="AN117" i="5" s="1"/>
  <c r="U117" i="5"/>
  <c r="Q66" i="6"/>
  <c r="AA406" i="5"/>
  <c r="AE406" i="5" s="1"/>
  <c r="G407" i="5"/>
  <c r="Y132" i="6"/>
  <c r="T32" i="6"/>
  <c r="U87" i="6"/>
  <c r="O58" i="8"/>
  <c r="G66" i="5" s="1"/>
  <c r="AE25" i="5"/>
  <c r="Z25" i="5"/>
  <c r="R24" i="8"/>
  <c r="W24" i="8"/>
  <c r="AA47" i="5"/>
  <c r="R59" i="8"/>
  <c r="W59" i="8"/>
  <c r="Y28" i="6"/>
  <c r="Y62" i="6"/>
  <c r="Y79" i="6"/>
  <c r="Y110" i="6"/>
  <c r="Y125" i="6"/>
  <c r="Y130" i="6"/>
  <c r="Y119" i="6"/>
  <c r="Y24" i="6"/>
  <c r="Y87" i="6"/>
  <c r="Y32" i="6"/>
  <c r="Y67" i="6"/>
  <c r="V95" i="6"/>
  <c r="Y95" i="6"/>
  <c r="Y108" i="6"/>
  <c r="V96" i="6"/>
  <c r="Y96" i="6"/>
  <c r="Z31" i="5"/>
  <c r="AE31" i="5"/>
  <c r="AE308" i="5"/>
  <c r="Z308" i="5"/>
  <c r="Q74" i="6"/>
  <c r="G271" i="5" s="1"/>
  <c r="AA271" i="5"/>
  <c r="AE114" i="5"/>
  <c r="Z114" i="5"/>
  <c r="AE122" i="5"/>
  <c r="Z122" i="5"/>
  <c r="Q60" i="6"/>
  <c r="G244" i="5" s="1"/>
  <c r="Q68" i="6"/>
  <c r="G265" i="5" s="1"/>
  <c r="AA265" i="5"/>
  <c r="Q70" i="6"/>
  <c r="G267" i="5" s="1"/>
  <c r="AA267" i="5"/>
  <c r="Q73" i="6"/>
  <c r="G270" i="5" s="1"/>
  <c r="AA270" i="5"/>
  <c r="Q75" i="6"/>
  <c r="Q71" i="6"/>
  <c r="G268" i="5" s="1"/>
  <c r="AA268" i="5"/>
  <c r="AE309" i="5"/>
  <c r="Z309" i="5"/>
  <c r="Q91" i="6"/>
  <c r="G315" i="5" s="1"/>
  <c r="Q17" i="6"/>
  <c r="G114" i="5" s="1"/>
  <c r="Q30" i="6"/>
  <c r="G127" i="5" s="1"/>
  <c r="Q22" i="6"/>
  <c r="G119" i="5" s="1"/>
  <c r="Q77" i="6"/>
  <c r="G301" i="5" s="1"/>
  <c r="AB397" i="5"/>
  <c r="AF397" i="5" s="1"/>
  <c r="AJ397" i="5" s="1"/>
  <c r="AN397" i="5" s="1"/>
  <c r="Q13" i="6"/>
  <c r="G110" i="5" s="1"/>
  <c r="Q34" i="6"/>
  <c r="G131" i="5" s="1"/>
  <c r="Q37" i="6"/>
  <c r="G134" i="5" s="1"/>
  <c r="G116" i="5"/>
  <c r="Q101" i="6"/>
  <c r="G349" i="5" s="1"/>
  <c r="AA349" i="5"/>
  <c r="Q103" i="6"/>
  <c r="AA351" i="5"/>
  <c r="Q105" i="6"/>
  <c r="G353" i="5" s="1"/>
  <c r="AA353" i="5"/>
  <c r="Q111" i="6"/>
  <c r="G359" i="5" s="1"/>
  <c r="AA359" i="5"/>
  <c r="Q113" i="6"/>
  <c r="G361" i="5" s="1"/>
  <c r="Q115" i="6"/>
  <c r="G363" i="5" s="1"/>
  <c r="V110" i="6"/>
  <c r="Q20" i="6"/>
  <c r="G117" i="5" s="1"/>
  <c r="Q18" i="6"/>
  <c r="G115" i="5" s="1"/>
  <c r="Q16" i="6"/>
  <c r="G113" i="5" s="1"/>
  <c r="Q31" i="6"/>
  <c r="G128" i="5" s="1"/>
  <c r="G122" i="5"/>
  <c r="Q76" i="6"/>
  <c r="G300" i="5" s="1"/>
  <c r="T87" i="6"/>
  <c r="V32" i="6"/>
  <c r="Q15" i="6"/>
  <c r="G112" i="5" s="1"/>
  <c r="V119" i="6"/>
  <c r="Q33" i="6"/>
  <c r="G130" i="5" s="1"/>
  <c r="Q36" i="6"/>
  <c r="G133" i="5" s="1"/>
  <c r="Q69" i="6"/>
  <c r="G266" i="5" s="1"/>
  <c r="Q40" i="6"/>
  <c r="G137" i="5" s="1"/>
  <c r="V79" i="6"/>
  <c r="V108" i="6"/>
  <c r="V130" i="6"/>
  <c r="V132" i="6"/>
  <c r="G184" i="5"/>
  <c r="Q94" i="6"/>
  <c r="T132" i="6"/>
  <c r="U132" i="6"/>
  <c r="G400" i="5"/>
  <c r="Q123" i="6"/>
  <c r="G399" i="5" s="1"/>
  <c r="Q120" i="6"/>
  <c r="G396" i="5" s="1"/>
  <c r="Q118" i="6"/>
  <c r="U119" i="6"/>
  <c r="T119" i="6"/>
  <c r="T108" i="6"/>
  <c r="T110" i="6"/>
  <c r="U108" i="6"/>
  <c r="U110" i="6"/>
  <c r="T96" i="6"/>
  <c r="U95" i="6"/>
  <c r="U96" i="6"/>
  <c r="T95" i="6"/>
  <c r="Q112" i="6"/>
  <c r="G360" i="5" s="1"/>
  <c r="Q114" i="6"/>
  <c r="G362" i="5" s="1"/>
  <c r="Q116" i="6"/>
  <c r="G364" i="5" s="1"/>
  <c r="Q100" i="6"/>
  <c r="G348" i="5" s="1"/>
  <c r="Q102" i="6"/>
  <c r="G350" i="5" s="1"/>
  <c r="Q104" i="6"/>
  <c r="G352" i="5" s="1"/>
  <c r="Q106" i="6"/>
  <c r="G354" i="5" s="1"/>
  <c r="Q90" i="6"/>
  <c r="G314" i="5" s="1"/>
  <c r="Q92" i="6"/>
  <c r="Q89" i="6"/>
  <c r="G313" i="5" s="1"/>
  <c r="Q88" i="6"/>
  <c r="G312" i="5" s="1"/>
  <c r="T79" i="6"/>
  <c r="U79" i="6"/>
  <c r="Q83" i="6"/>
  <c r="G307" i="5" s="1"/>
  <c r="Q81" i="6"/>
  <c r="G305" i="5" s="1"/>
  <c r="Q80" i="6"/>
  <c r="G304" i="5" s="1"/>
  <c r="Q78" i="6"/>
  <c r="G302" i="5" s="1"/>
  <c r="O49" i="8"/>
  <c r="G57" i="5" s="1"/>
  <c r="G463" i="5" s="1"/>
  <c r="O29" i="8"/>
  <c r="G37" i="5" s="1"/>
  <c r="O33" i="8"/>
  <c r="G41" i="5" s="1"/>
  <c r="O31" i="8"/>
  <c r="G39" i="5" s="1"/>
  <c r="O28" i="8"/>
  <c r="G36" i="5" s="1"/>
  <c r="O30" i="8"/>
  <c r="G38" i="5" s="1"/>
  <c r="O34" i="8"/>
  <c r="G42" i="5" s="1"/>
  <c r="O32" i="8"/>
  <c r="G40" i="5" s="1"/>
  <c r="O37" i="8"/>
  <c r="G45" i="5" s="1"/>
  <c r="O35" i="8"/>
  <c r="G43" i="5" s="1"/>
  <c r="I145" i="6"/>
  <c r="M145" i="6"/>
  <c r="Q134" i="6" l="1"/>
  <c r="G410" i="5" s="1"/>
  <c r="Q137" i="6"/>
  <c r="U137" i="6" s="1"/>
  <c r="Q126" i="6"/>
  <c r="U126" i="6" s="1"/>
  <c r="Q135" i="6"/>
  <c r="G411" i="5" s="1"/>
  <c r="Q61" i="6"/>
  <c r="U61" i="6" s="1"/>
  <c r="AI91" i="5"/>
  <c r="AD91" i="5"/>
  <c r="Z43" i="5"/>
  <c r="J134" i="5"/>
  <c r="M134" i="5"/>
  <c r="AE412" i="5"/>
  <c r="Z412" i="5"/>
  <c r="AI400" i="5"/>
  <c r="AD400" i="5"/>
  <c r="J412" i="5"/>
  <c r="M412" i="5"/>
  <c r="T103" i="6"/>
  <c r="G351" i="5"/>
  <c r="AI407" i="5"/>
  <c r="AD407" i="5"/>
  <c r="AI307" i="5"/>
  <c r="AD307" i="5"/>
  <c r="T60" i="6"/>
  <c r="U60" i="6"/>
  <c r="V60" i="6"/>
  <c r="T37" i="6"/>
  <c r="U37" i="6"/>
  <c r="V37" i="6"/>
  <c r="U16" i="6"/>
  <c r="T16" i="6"/>
  <c r="V16" i="6"/>
  <c r="V15" i="6"/>
  <c r="T15" i="6"/>
  <c r="U15" i="6"/>
  <c r="W362" i="5"/>
  <c r="X362" i="5" s="1"/>
  <c r="W361" i="5"/>
  <c r="Z39" i="5"/>
  <c r="T117" i="5"/>
  <c r="Z40" i="5"/>
  <c r="Z300" i="5"/>
  <c r="AB363" i="5"/>
  <c r="AF363" i="5" s="1"/>
  <c r="AJ363" i="5" s="1"/>
  <c r="AN363" i="5" s="1"/>
  <c r="Z313" i="5"/>
  <c r="Z314" i="5"/>
  <c r="Z306" i="5"/>
  <c r="Z38" i="5"/>
  <c r="Z42" i="5"/>
  <c r="AA362" i="5"/>
  <c r="Z362" i="5" s="1"/>
  <c r="Z305" i="5"/>
  <c r="Z399" i="5"/>
  <c r="Z410" i="5"/>
  <c r="Z401" i="5"/>
  <c r="Z411" i="5"/>
  <c r="Z302" i="5"/>
  <c r="W25" i="8"/>
  <c r="AE399" i="5"/>
  <c r="AD399" i="5" s="1"/>
  <c r="Y99" i="6"/>
  <c r="W26" i="8"/>
  <c r="W37" i="8"/>
  <c r="Z304" i="5"/>
  <c r="Z396" i="5"/>
  <c r="W23" i="8"/>
  <c r="W20" i="8"/>
  <c r="AE396" i="5"/>
  <c r="AI396" i="5" s="1"/>
  <c r="AE401" i="5"/>
  <c r="AI401" i="5" s="1"/>
  <c r="Z312" i="5"/>
  <c r="Z110" i="5"/>
  <c r="Z311" i="5"/>
  <c r="Z266" i="5"/>
  <c r="V99" i="6"/>
  <c r="Z44" i="5"/>
  <c r="Z41" i="5"/>
  <c r="Z45" i="5"/>
  <c r="W35" i="8"/>
  <c r="W49" i="8"/>
  <c r="U99" i="6"/>
  <c r="Z301" i="5"/>
  <c r="Y46" i="6"/>
  <c r="T101" i="6"/>
  <c r="V120" i="6"/>
  <c r="Y47" i="6"/>
  <c r="Z364" i="5"/>
  <c r="Z360" i="5"/>
  <c r="Z352" i="5"/>
  <c r="Z348" i="5"/>
  <c r="T113" i="6"/>
  <c r="Y131" i="6"/>
  <c r="Y80" i="6"/>
  <c r="Y76" i="6"/>
  <c r="U115" i="6"/>
  <c r="Y49" i="6"/>
  <c r="T105" i="6"/>
  <c r="Y45" i="6"/>
  <c r="V111" i="6"/>
  <c r="Y50" i="6"/>
  <c r="Y63" i="6"/>
  <c r="Y66" i="6"/>
  <c r="Y124" i="6"/>
  <c r="Y136" i="6"/>
  <c r="Y48" i="6"/>
  <c r="Z354" i="5"/>
  <c r="Z350" i="5"/>
  <c r="T91" i="6"/>
  <c r="Y75" i="6"/>
  <c r="Y60" i="6"/>
  <c r="Z117" i="5"/>
  <c r="Q129" i="6"/>
  <c r="G405" i="5" s="1"/>
  <c r="Z406" i="5"/>
  <c r="V101" i="6"/>
  <c r="U101" i="6"/>
  <c r="V105" i="6"/>
  <c r="U91" i="6"/>
  <c r="U136" i="6"/>
  <c r="V91" i="6"/>
  <c r="V136" i="6"/>
  <c r="U113" i="6"/>
  <c r="W22" i="8"/>
  <c r="AI38" i="5"/>
  <c r="AD38" i="5"/>
  <c r="AI42" i="5"/>
  <c r="AD42" i="5"/>
  <c r="AI25" i="5"/>
  <c r="AD25" i="5"/>
  <c r="AI39" i="5"/>
  <c r="AD39" i="5"/>
  <c r="AI43" i="5"/>
  <c r="AD43" i="5"/>
  <c r="R32" i="8"/>
  <c r="W32" i="8"/>
  <c r="R30" i="8"/>
  <c r="W30" i="8"/>
  <c r="R33" i="8"/>
  <c r="W33" i="8"/>
  <c r="V131" i="6"/>
  <c r="V113" i="6"/>
  <c r="R28" i="8"/>
  <c r="W28" i="8"/>
  <c r="R36" i="8"/>
  <c r="W36" i="8"/>
  <c r="R31" i="8"/>
  <c r="W31" i="8"/>
  <c r="R29" i="8"/>
  <c r="W29" i="8"/>
  <c r="R34" i="8"/>
  <c r="W34" i="8"/>
  <c r="U105" i="6"/>
  <c r="AI40" i="5"/>
  <c r="AD40" i="5"/>
  <c r="AI44" i="5"/>
  <c r="AD44" i="5"/>
  <c r="Z47" i="5"/>
  <c r="AE47" i="5"/>
  <c r="R58" i="8"/>
  <c r="W58" i="8"/>
  <c r="AI41" i="5"/>
  <c r="AD41" i="5"/>
  <c r="AI45" i="5"/>
  <c r="AD45" i="5"/>
  <c r="Y106" i="6"/>
  <c r="Y13" i="6"/>
  <c r="Y30" i="6"/>
  <c r="Y88" i="6"/>
  <c r="T118" i="6"/>
  <c r="Y118" i="6"/>
  <c r="Y78" i="6"/>
  <c r="T92" i="6"/>
  <c r="Y92" i="6"/>
  <c r="J362" i="5"/>
  <c r="Y114" i="6"/>
  <c r="T94" i="6"/>
  <c r="Y94" i="6"/>
  <c r="Y40" i="6"/>
  <c r="Y86" i="6"/>
  <c r="Y31" i="6"/>
  <c r="Y104" i="6"/>
  <c r="Y112" i="6"/>
  <c r="Y69" i="6"/>
  <c r="Y81" i="6"/>
  <c r="Y85" i="6"/>
  <c r="Y89" i="6"/>
  <c r="Y102" i="6"/>
  <c r="Y120" i="6"/>
  <c r="Y123" i="6"/>
  <c r="V40" i="6"/>
  <c r="U40" i="6"/>
  <c r="Y36" i="6"/>
  <c r="Y15" i="6"/>
  <c r="Y25" i="6"/>
  <c r="Y18" i="6"/>
  <c r="Y37" i="6"/>
  <c r="Y22" i="6"/>
  <c r="Y19" i="6"/>
  <c r="Y71" i="6"/>
  <c r="Y90" i="6"/>
  <c r="Y51" i="6"/>
  <c r="T139" i="6"/>
  <c r="Y139" i="6"/>
  <c r="Y43" i="6"/>
  <c r="Y16" i="6"/>
  <c r="J363" i="5"/>
  <c r="Y115" i="6"/>
  <c r="Y111" i="6"/>
  <c r="Y103" i="6"/>
  <c r="Y41" i="6"/>
  <c r="Y77" i="6"/>
  <c r="Y17" i="6"/>
  <c r="Y73" i="6"/>
  <c r="J265" i="5"/>
  <c r="Y68" i="6"/>
  <c r="Y74" i="6"/>
  <c r="T40" i="6"/>
  <c r="Y83" i="6"/>
  <c r="U90" i="6"/>
  <c r="Y100" i="6"/>
  <c r="Y116" i="6"/>
  <c r="T138" i="6"/>
  <c r="Y138" i="6"/>
  <c r="V115" i="6"/>
  <c r="Y33" i="6"/>
  <c r="Y29" i="6"/>
  <c r="Y20" i="6"/>
  <c r="J361" i="5"/>
  <c r="Y113" i="6"/>
  <c r="Y105" i="6"/>
  <c r="Y101" i="6"/>
  <c r="Y34" i="6"/>
  <c r="Y26" i="6"/>
  <c r="Y91" i="6"/>
  <c r="Y70" i="6"/>
  <c r="AI31" i="5"/>
  <c r="AD31" i="5"/>
  <c r="R37" i="8"/>
  <c r="R35" i="8"/>
  <c r="AI312" i="5"/>
  <c r="AD312" i="5"/>
  <c r="AI110" i="5"/>
  <c r="AD110" i="5"/>
  <c r="AI304" i="5"/>
  <c r="AD304" i="5"/>
  <c r="AE270" i="5"/>
  <c r="Z270" i="5"/>
  <c r="AE265" i="5"/>
  <c r="Z265" i="5"/>
  <c r="AE271" i="5"/>
  <c r="Z271" i="5"/>
  <c r="AI266" i="5"/>
  <c r="AD266" i="5"/>
  <c r="AI114" i="5"/>
  <c r="AD114" i="5"/>
  <c r="AI313" i="5"/>
  <c r="AD313" i="5"/>
  <c r="AI308" i="5"/>
  <c r="AD308" i="5"/>
  <c r="U103" i="6"/>
  <c r="U111" i="6"/>
  <c r="V139" i="6"/>
  <c r="V103" i="6"/>
  <c r="AI309" i="5"/>
  <c r="AD309" i="5"/>
  <c r="AI314" i="5"/>
  <c r="AD314" i="5"/>
  <c r="AI305" i="5"/>
  <c r="AD305" i="5"/>
  <c r="AI306" i="5"/>
  <c r="AD306" i="5"/>
  <c r="AI301" i="5"/>
  <c r="AD301" i="5"/>
  <c r="AE267" i="5"/>
  <c r="Z267" i="5"/>
  <c r="AI300" i="5"/>
  <c r="AD300" i="5"/>
  <c r="U116" i="6"/>
  <c r="U139" i="6"/>
  <c r="T111" i="6"/>
  <c r="T115" i="6"/>
  <c r="AE268" i="5"/>
  <c r="Z268" i="5"/>
  <c r="AI122" i="5"/>
  <c r="AD122" i="5"/>
  <c r="AI302" i="5"/>
  <c r="AD302" i="5"/>
  <c r="AI117" i="5"/>
  <c r="AD117" i="5"/>
  <c r="AI311" i="5"/>
  <c r="AD311" i="5"/>
  <c r="Z353" i="5"/>
  <c r="AE353" i="5"/>
  <c r="Z349" i="5"/>
  <c r="AE349" i="5"/>
  <c r="AI411" i="5"/>
  <c r="AD411" i="5"/>
  <c r="AI406" i="5"/>
  <c r="AD406" i="5"/>
  <c r="AD354" i="5"/>
  <c r="AI354" i="5"/>
  <c r="AD350" i="5"/>
  <c r="AI350" i="5"/>
  <c r="Z359" i="5"/>
  <c r="AE359" i="5"/>
  <c r="AI410" i="5"/>
  <c r="AD410" i="5"/>
  <c r="AD364" i="5"/>
  <c r="AI364" i="5"/>
  <c r="AD360" i="5"/>
  <c r="AI360" i="5"/>
  <c r="AD352" i="5"/>
  <c r="AI352" i="5"/>
  <c r="AD348" i="5"/>
  <c r="AI348" i="5"/>
  <c r="Q361" i="5"/>
  <c r="AA361" i="5"/>
  <c r="Q363" i="5"/>
  <c r="X363" i="5" s="1"/>
  <c r="AA363" i="5"/>
  <c r="Z351" i="5"/>
  <c r="AE351" i="5"/>
  <c r="T88" i="6"/>
  <c r="T90" i="6"/>
  <c r="J143" i="5"/>
  <c r="M143" i="5"/>
  <c r="T80" i="6"/>
  <c r="T89" i="6"/>
  <c r="U138" i="6"/>
  <c r="U102" i="6"/>
  <c r="U134" i="6"/>
  <c r="T136" i="6"/>
  <c r="V138" i="6"/>
  <c r="J141" i="5"/>
  <c r="M141" i="5"/>
  <c r="R49" i="8"/>
  <c r="U94" i="6"/>
  <c r="V94" i="6"/>
  <c r="V89" i="6"/>
  <c r="V92" i="6"/>
  <c r="U123" i="6"/>
  <c r="T123" i="6"/>
  <c r="V123" i="6"/>
  <c r="U120" i="6"/>
  <c r="T120" i="6"/>
  <c r="V118" i="6"/>
  <c r="U118" i="6"/>
  <c r="T112" i="6"/>
  <c r="V112" i="6"/>
  <c r="T116" i="6"/>
  <c r="V116" i="6"/>
  <c r="U112" i="6"/>
  <c r="T114" i="6"/>
  <c r="V114" i="6"/>
  <c r="U114" i="6"/>
  <c r="T100" i="6"/>
  <c r="V100" i="6"/>
  <c r="U100" i="6"/>
  <c r="T106" i="6"/>
  <c r="V106" i="6"/>
  <c r="U106" i="6"/>
  <c r="T104" i="6"/>
  <c r="V104" i="6"/>
  <c r="T102" i="6"/>
  <c r="V102" i="6"/>
  <c r="U104" i="6"/>
  <c r="U92" i="6"/>
  <c r="V90" i="6"/>
  <c r="U89" i="6"/>
  <c r="V88" i="6"/>
  <c r="U88" i="6"/>
  <c r="U83" i="6"/>
  <c r="T83" i="6"/>
  <c r="V83" i="6"/>
  <c r="U81" i="6"/>
  <c r="T81" i="6"/>
  <c r="V81" i="6"/>
  <c r="V80" i="6"/>
  <c r="U80" i="6"/>
  <c r="U78" i="6"/>
  <c r="T78" i="6"/>
  <c r="V78" i="6"/>
  <c r="V134" i="6" l="1"/>
  <c r="T134" i="6"/>
  <c r="V137" i="6"/>
  <c r="T137" i="6"/>
  <c r="Y137" i="6"/>
  <c r="Y134" i="6"/>
  <c r="V126" i="6"/>
  <c r="T126" i="6"/>
  <c r="Y126" i="6"/>
  <c r="G402" i="5"/>
  <c r="V135" i="6"/>
  <c r="Y135" i="6"/>
  <c r="U135" i="6"/>
  <c r="T135" i="6"/>
  <c r="V61" i="6"/>
  <c r="T61" i="6"/>
  <c r="Y61" i="6"/>
  <c r="AM91" i="5"/>
  <c r="AL91" i="5" s="1"/>
  <c r="AH91" i="5"/>
  <c r="AM307" i="5"/>
  <c r="AL307" i="5" s="1"/>
  <c r="AH307" i="5"/>
  <c r="AM400" i="5"/>
  <c r="AL400" i="5" s="1"/>
  <c r="AH400" i="5"/>
  <c r="AH407" i="5"/>
  <c r="AM407" i="5"/>
  <c r="AL407" i="5" s="1"/>
  <c r="AI412" i="5"/>
  <c r="AD412" i="5"/>
  <c r="X361" i="5"/>
  <c r="AE362" i="5"/>
  <c r="AI362" i="5" s="1"/>
  <c r="AI399" i="5"/>
  <c r="AH399" i="5" s="1"/>
  <c r="AD396" i="5"/>
  <c r="AD401" i="5"/>
  <c r="M363" i="5"/>
  <c r="M362" i="5"/>
  <c r="M361" i="5"/>
  <c r="AM44" i="5"/>
  <c r="AL44" i="5" s="1"/>
  <c r="AH44" i="5"/>
  <c r="AM38" i="5"/>
  <c r="AL38" i="5" s="1"/>
  <c r="AH38" i="5"/>
  <c r="AH45" i="5"/>
  <c r="AM45" i="5"/>
  <c r="AL45" i="5" s="1"/>
  <c r="AM25" i="5"/>
  <c r="AL25" i="5" s="1"/>
  <c r="AH25" i="5"/>
  <c r="AH41" i="5"/>
  <c r="AM41" i="5"/>
  <c r="AL41" i="5" s="1"/>
  <c r="AI47" i="5"/>
  <c r="AD47" i="5"/>
  <c r="AM43" i="5"/>
  <c r="AL43" i="5" s="1"/>
  <c r="AH43" i="5"/>
  <c r="AM40" i="5"/>
  <c r="AL40" i="5" s="1"/>
  <c r="AH40" i="5"/>
  <c r="AH39" i="5"/>
  <c r="AM39" i="5"/>
  <c r="AL39" i="5" s="1"/>
  <c r="AH42" i="5"/>
  <c r="AM42" i="5"/>
  <c r="AL42" i="5" s="1"/>
  <c r="M265" i="5"/>
  <c r="AM31" i="5"/>
  <c r="AL31" i="5" s="1"/>
  <c r="AH31" i="5"/>
  <c r="AM117" i="5"/>
  <c r="AL117" i="5" s="1"/>
  <c r="AH117" i="5"/>
  <c r="AH122" i="5"/>
  <c r="AM122" i="5"/>
  <c r="AL122" i="5" s="1"/>
  <c r="AI267" i="5"/>
  <c r="AD267" i="5"/>
  <c r="AM306" i="5"/>
  <c r="AL306" i="5" s="1"/>
  <c r="AH306" i="5"/>
  <c r="AM314" i="5"/>
  <c r="AL314" i="5" s="1"/>
  <c r="AH314" i="5"/>
  <c r="AM308" i="5"/>
  <c r="AL308" i="5" s="1"/>
  <c r="AH308" i="5"/>
  <c r="AM114" i="5"/>
  <c r="AL114" i="5" s="1"/>
  <c r="AH114" i="5"/>
  <c r="AI271" i="5"/>
  <c r="AD271" i="5"/>
  <c r="AI265" i="5"/>
  <c r="AD265" i="5"/>
  <c r="AM304" i="5"/>
  <c r="AL304" i="5" s="1"/>
  <c r="AH304" i="5"/>
  <c r="AM312" i="5"/>
  <c r="AL312" i="5" s="1"/>
  <c r="AH312" i="5"/>
  <c r="AH311" i="5"/>
  <c r="AM311" i="5"/>
  <c r="AL311" i="5" s="1"/>
  <c r="AM302" i="5"/>
  <c r="AL302" i="5" s="1"/>
  <c r="AH302" i="5"/>
  <c r="AI268" i="5"/>
  <c r="AD268" i="5"/>
  <c r="AH300" i="5"/>
  <c r="AM300" i="5"/>
  <c r="AL300" i="5" s="1"/>
  <c r="AM301" i="5"/>
  <c r="AL301" i="5" s="1"/>
  <c r="AH301" i="5"/>
  <c r="AH305" i="5"/>
  <c r="AM305" i="5"/>
  <c r="AL305" i="5" s="1"/>
  <c r="AH309" i="5"/>
  <c r="AM309" i="5"/>
  <c r="AL309" i="5" s="1"/>
  <c r="AH313" i="5"/>
  <c r="AM313" i="5"/>
  <c r="AL313" i="5" s="1"/>
  <c r="AM266" i="5"/>
  <c r="AL266" i="5" s="1"/>
  <c r="AH266" i="5"/>
  <c r="AI270" i="5"/>
  <c r="AD270" i="5"/>
  <c r="AM110" i="5"/>
  <c r="AL110" i="5" s="1"/>
  <c r="AH110" i="5"/>
  <c r="AM401" i="5"/>
  <c r="AL401" i="5" s="1"/>
  <c r="AH401" i="5"/>
  <c r="AH396" i="5"/>
  <c r="AM396" i="5"/>
  <c r="AL396" i="5" s="1"/>
  <c r="AH354" i="5"/>
  <c r="AM354" i="5"/>
  <c r="AL354" i="5" s="1"/>
  <c r="AD349" i="5"/>
  <c r="AI349" i="5"/>
  <c r="Z363" i="5"/>
  <c r="AE363" i="5"/>
  <c r="AH348" i="5"/>
  <c r="AM348" i="5"/>
  <c r="AL348" i="5" s="1"/>
  <c r="AH360" i="5"/>
  <c r="AM360" i="5"/>
  <c r="AL360" i="5" s="1"/>
  <c r="AH410" i="5"/>
  <c r="AM410" i="5"/>
  <c r="AL410" i="5" s="1"/>
  <c r="AM350" i="5"/>
  <c r="AL350" i="5" s="1"/>
  <c r="AH350" i="5"/>
  <c r="AD353" i="5"/>
  <c r="AI353" i="5"/>
  <c r="AD351" i="5"/>
  <c r="AI351" i="5"/>
  <c r="Z361" i="5"/>
  <c r="AE361" i="5"/>
  <c r="AH352" i="5"/>
  <c r="AM352" i="5"/>
  <c r="AL352" i="5" s="1"/>
  <c r="AH364" i="5"/>
  <c r="AM364" i="5"/>
  <c r="AL364" i="5" s="1"/>
  <c r="AD359" i="5"/>
  <c r="AI359" i="5"/>
  <c r="AH406" i="5"/>
  <c r="AM406" i="5"/>
  <c r="AL406" i="5" s="1"/>
  <c r="AM411" i="5"/>
  <c r="AL411" i="5" s="1"/>
  <c r="AH411" i="5"/>
  <c r="J184" i="5"/>
  <c r="M184" i="5"/>
  <c r="M411" i="5"/>
  <c r="J411" i="5"/>
  <c r="AD362" i="5" l="1"/>
  <c r="AH412" i="5"/>
  <c r="AM412" i="5"/>
  <c r="AL412" i="5" s="1"/>
  <c r="AM399" i="5"/>
  <c r="AL399" i="5" s="1"/>
  <c r="AM47" i="5"/>
  <c r="AL47" i="5" s="1"/>
  <c r="AH47" i="5"/>
  <c r="AM270" i="5"/>
  <c r="AL270" i="5" s="1"/>
  <c r="AH270" i="5"/>
  <c r="AH268" i="5"/>
  <c r="AM268" i="5"/>
  <c r="AL268" i="5" s="1"/>
  <c r="AM271" i="5"/>
  <c r="AL271" i="5" s="1"/>
  <c r="AH271" i="5"/>
  <c r="AM265" i="5"/>
  <c r="AL265" i="5" s="1"/>
  <c r="AH265" i="5"/>
  <c r="AM267" i="5"/>
  <c r="AL267" i="5" s="1"/>
  <c r="AH267" i="5"/>
  <c r="AM349" i="5"/>
  <c r="AL349" i="5" s="1"/>
  <c r="AH349" i="5"/>
  <c r="AH362" i="5"/>
  <c r="AM362" i="5"/>
  <c r="AL362" i="5" s="1"/>
  <c r="AH353" i="5"/>
  <c r="AM353" i="5"/>
  <c r="AL353" i="5" s="1"/>
  <c r="AD363" i="5"/>
  <c r="AI363" i="5"/>
  <c r="AH359" i="5"/>
  <c r="AM359" i="5"/>
  <c r="AL359" i="5" s="1"/>
  <c r="AM351" i="5"/>
  <c r="AL351" i="5" s="1"/>
  <c r="AH351" i="5"/>
  <c r="AD361" i="5"/>
  <c r="AI361" i="5"/>
  <c r="AH361" i="5" l="1"/>
  <c r="AM361" i="5"/>
  <c r="AL361" i="5" s="1"/>
  <c r="AH363" i="5"/>
  <c r="AM363" i="5"/>
  <c r="AL363" i="5" s="1"/>
  <c r="R57" i="5"/>
  <c r="S57" i="5" l="1"/>
  <c r="P57" i="5"/>
  <c r="V57" i="5"/>
  <c r="Q57" i="5"/>
  <c r="AA99" i="5" l="1"/>
  <c r="H423" i="5"/>
  <c r="S21" i="5"/>
  <c r="AE99" i="5" l="1"/>
  <c r="Q21" i="5"/>
  <c r="R21" i="5"/>
  <c r="W21" i="5"/>
  <c r="P21" i="5"/>
  <c r="V21" i="5"/>
  <c r="AI99" i="5" l="1"/>
  <c r="X21" i="5"/>
  <c r="H122" i="1"/>
  <c r="O122" i="1" s="1"/>
  <c r="K116" i="1"/>
  <c r="Y54" i="6"/>
  <c r="Q72" i="8"/>
  <c r="Q73" i="8" s="1"/>
  <c r="K125" i="1" l="1"/>
  <c r="AM99" i="5"/>
  <c r="Q74" i="8"/>
  <c r="N133" i="1"/>
  <c r="K133" i="1"/>
  <c r="I133" i="1"/>
  <c r="I116" i="1"/>
  <c r="O116" i="1"/>
  <c r="N125" i="1"/>
  <c r="I125" i="1"/>
  <c r="N116" i="1"/>
  <c r="N122" i="1" l="1"/>
  <c r="I122" i="1"/>
  <c r="K122" i="1"/>
  <c r="O117" i="1"/>
  <c r="I281" i="5"/>
  <c r="K117" i="1"/>
  <c r="N117" i="1"/>
  <c r="I117" i="1"/>
  <c r="P125" i="1"/>
  <c r="P133" i="1"/>
  <c r="Q133" i="1" s="1"/>
  <c r="P116" i="1"/>
  <c r="Q116" i="1" s="1"/>
  <c r="P122" i="1" l="1"/>
  <c r="Q122" i="1" s="1"/>
  <c r="P117" i="1"/>
  <c r="AF402" i="5" l="1"/>
  <c r="AJ402" i="5" s="1"/>
  <c r="AN402" i="5" s="1"/>
  <c r="J31" i="5" l="1"/>
  <c r="Y127" i="6" l="1"/>
  <c r="Y129" i="6"/>
  <c r="Z402" i="5"/>
  <c r="AE402" i="5"/>
  <c r="I98" i="1"/>
  <c r="I81" i="1"/>
  <c r="I78" i="1"/>
  <c r="P32" i="1"/>
  <c r="I33" i="1"/>
  <c r="P33" i="1" s="1"/>
  <c r="O177" i="1"/>
  <c r="O178" i="1"/>
  <c r="O179" i="1"/>
  <c r="O180" i="1"/>
  <c r="O181" i="1"/>
  <c r="O182" i="1"/>
  <c r="O176" i="1"/>
  <c r="AI402" i="5" l="1"/>
  <c r="AD402" i="5"/>
  <c r="P179" i="1"/>
  <c r="P180" i="1"/>
  <c r="P182" i="1"/>
  <c r="P181" i="1"/>
  <c r="P177" i="1"/>
  <c r="P178" i="1"/>
  <c r="H165" i="1" l="1"/>
  <c r="AH402" i="5"/>
  <c r="AM402" i="5"/>
  <c r="AL402" i="5" s="1"/>
  <c r="S396" i="5" l="1"/>
  <c r="I404" i="5"/>
  <c r="H404" i="5"/>
  <c r="AB403" i="5" l="1"/>
  <c r="AF403" i="5" s="1"/>
  <c r="AJ403" i="5" s="1"/>
  <c r="AN403" i="5" s="1"/>
  <c r="AA403" i="5"/>
  <c r="AE403" i="5" s="1"/>
  <c r="Q128" i="6"/>
  <c r="G404" i="5" s="1"/>
  <c r="P396" i="5"/>
  <c r="V396" i="5"/>
  <c r="Q396" i="5"/>
  <c r="W396" i="5"/>
  <c r="L396" i="5"/>
  <c r="R396" i="5"/>
  <c r="Z403" i="5" l="1"/>
  <c r="AD403" i="5"/>
  <c r="AI403" i="5"/>
  <c r="Y128" i="6"/>
  <c r="X396" i="5"/>
  <c r="AM403" i="5" l="1"/>
  <c r="AL403" i="5" s="1"/>
  <c r="AH403" i="5"/>
  <c r="J396" i="5" l="1"/>
  <c r="M396" i="5"/>
  <c r="I148" i="1" l="1"/>
  <c r="S450" i="5" l="1"/>
  <c r="S449" i="5"/>
  <c r="S447" i="5"/>
  <c r="S446" i="5"/>
  <c r="S441" i="5"/>
  <c r="S439" i="5"/>
  <c r="S438" i="5"/>
  <c r="S437" i="5"/>
  <c r="S436" i="5"/>
  <c r="S435" i="5"/>
  <c r="S434" i="5"/>
  <c r="S433" i="5"/>
  <c r="S432" i="5"/>
  <c r="S431" i="5"/>
  <c r="S430" i="5"/>
  <c r="S429" i="5"/>
  <c r="S426" i="5"/>
  <c r="S425" i="5"/>
  <c r="S424" i="5"/>
  <c r="S423" i="5"/>
  <c r="S422" i="5"/>
  <c r="S421" i="5"/>
  <c r="S420" i="5"/>
  <c r="S419" i="5"/>
  <c r="S417" i="5"/>
  <c r="S415" i="5"/>
  <c r="S413" i="5"/>
  <c r="S393" i="5"/>
  <c r="S392" i="5"/>
  <c r="S391" i="5"/>
  <c r="S390" i="5"/>
  <c r="S389" i="5"/>
  <c r="S388" i="5"/>
  <c r="S387" i="5"/>
  <c r="S386" i="5"/>
  <c r="S385" i="5"/>
  <c r="S383" i="5"/>
  <c r="S382" i="5"/>
  <c r="S381" i="5"/>
  <c r="S380" i="5"/>
  <c r="S379" i="5"/>
  <c r="S378" i="5"/>
  <c r="S377" i="5"/>
  <c r="S376" i="5"/>
  <c r="S374" i="5"/>
  <c r="S372" i="5"/>
  <c r="S371" i="5"/>
  <c r="S370" i="5"/>
  <c r="S369" i="5"/>
  <c r="S368" i="5"/>
  <c r="S367" i="5"/>
  <c r="S365" i="5"/>
  <c r="S346" i="5"/>
  <c r="S345" i="5"/>
  <c r="S344" i="5"/>
  <c r="S343" i="5"/>
  <c r="S342" i="5"/>
  <c r="S341" i="5"/>
  <c r="S340" i="5"/>
  <c r="S339" i="5"/>
  <c r="S338" i="5"/>
  <c r="S337" i="5"/>
  <c r="S335" i="5"/>
  <c r="S334" i="5"/>
  <c r="S331" i="5"/>
  <c r="S329" i="5"/>
  <c r="S328" i="5"/>
  <c r="S327" i="5"/>
  <c r="S321" i="5"/>
  <c r="S319" i="5"/>
  <c r="S318" i="5"/>
  <c r="S317" i="5"/>
  <c r="S297" i="5"/>
  <c r="S294" i="5"/>
  <c r="S293" i="5"/>
  <c r="S290" i="5"/>
  <c r="S285" i="5"/>
  <c r="S284" i="5"/>
  <c r="S281" i="5"/>
  <c r="S280" i="5"/>
  <c r="S278" i="5"/>
  <c r="S277" i="5"/>
  <c r="S276" i="5"/>
  <c r="S275" i="5"/>
  <c r="S274" i="5"/>
  <c r="S262" i="5"/>
  <c r="S260" i="5"/>
  <c r="S254" i="5"/>
  <c r="S253" i="5"/>
  <c r="S252" i="5"/>
  <c r="S251" i="5"/>
  <c r="S250" i="5"/>
  <c r="S249" i="5"/>
  <c r="S248" i="5"/>
  <c r="S247" i="5"/>
  <c r="S245" i="5"/>
  <c r="S244" i="5"/>
  <c r="S240" i="5"/>
  <c r="S238" i="5"/>
  <c r="S237" i="5"/>
  <c r="S236" i="5"/>
  <c r="S234" i="5"/>
  <c r="S233" i="5"/>
  <c r="S232" i="5"/>
  <c r="S231" i="5"/>
  <c r="S230" i="5"/>
  <c r="S229" i="5"/>
  <c r="S228" i="5"/>
  <c r="S227" i="5"/>
  <c r="S225" i="5"/>
  <c r="S224" i="5"/>
  <c r="S222" i="5"/>
  <c r="S221" i="5"/>
  <c r="S220" i="5"/>
  <c r="S219" i="5"/>
  <c r="S218" i="5"/>
  <c r="S217" i="5"/>
  <c r="S216" i="5"/>
  <c r="S215" i="5"/>
  <c r="S214" i="5"/>
  <c r="S212" i="5"/>
  <c r="S211" i="5"/>
  <c r="S207" i="5"/>
  <c r="S205" i="5"/>
  <c r="S192" i="5"/>
  <c r="S189" i="5"/>
  <c r="S188" i="5"/>
  <c r="S186" i="5"/>
  <c r="S185" i="5"/>
  <c r="S179" i="5"/>
  <c r="S178" i="5"/>
  <c r="S177" i="5"/>
  <c r="S176" i="5"/>
  <c r="S175" i="5"/>
  <c r="S174" i="5"/>
  <c r="S173" i="5"/>
  <c r="S172" i="5"/>
  <c r="S171" i="5"/>
  <c r="S170" i="5"/>
  <c r="S168" i="5"/>
  <c r="S167" i="5"/>
  <c r="S164" i="5"/>
  <c r="S163" i="5"/>
  <c r="S162" i="5"/>
  <c r="S159" i="5"/>
  <c r="S157" i="5"/>
  <c r="S155" i="5"/>
  <c r="S153" i="5"/>
  <c r="S151" i="5"/>
  <c r="S150" i="5"/>
  <c r="S149" i="5"/>
  <c r="S147" i="5"/>
  <c r="S108" i="5"/>
  <c r="S107" i="5"/>
  <c r="S104" i="5"/>
  <c r="S101" i="5"/>
  <c r="S98" i="5"/>
  <c r="S95" i="5"/>
  <c r="S92" i="5"/>
  <c r="S89" i="5"/>
  <c r="S86" i="5"/>
  <c r="S85" i="5"/>
  <c r="S60" i="5"/>
  <c r="S63" i="5"/>
  <c r="S64" i="5"/>
  <c r="S65" i="5"/>
  <c r="S66" i="5"/>
  <c r="S67" i="5"/>
  <c r="S68" i="5"/>
  <c r="S69" i="5"/>
  <c r="S70" i="5"/>
  <c r="S71" i="5"/>
  <c r="S72" i="5"/>
  <c r="S73" i="5"/>
  <c r="S74" i="5"/>
  <c r="S75" i="5"/>
  <c r="S76" i="5"/>
  <c r="S77" i="5"/>
  <c r="S78" i="5"/>
  <c r="W102" i="5"/>
  <c r="V102" i="5"/>
  <c r="Q102" i="5"/>
  <c r="P102" i="5"/>
  <c r="M102" i="5"/>
  <c r="S90" i="5"/>
  <c r="X102" i="5" l="1"/>
  <c r="S373" i="5"/>
  <c r="F135" i="1" l="1"/>
  <c r="H126" i="1"/>
  <c r="K164" i="1"/>
  <c r="I164" i="1"/>
  <c r="O164" i="1"/>
  <c r="N164" i="1"/>
  <c r="O187" i="5"/>
  <c r="L357" i="5"/>
  <c r="P357" i="5"/>
  <c r="L358" i="5"/>
  <c r="P358" i="5"/>
  <c r="L359" i="5"/>
  <c r="P359" i="5"/>
  <c r="L360" i="5"/>
  <c r="P360" i="5"/>
  <c r="L364" i="5"/>
  <c r="P364" i="5"/>
  <c r="S405" i="5"/>
  <c r="L406" i="5"/>
  <c r="R407" i="5"/>
  <c r="L407" i="5"/>
  <c r="L408" i="5"/>
  <c r="L409" i="5"/>
  <c r="S410" i="5"/>
  <c r="V408" i="5"/>
  <c r="S400" i="5"/>
  <c r="S401" i="5"/>
  <c r="S402" i="5"/>
  <c r="S403" i="5"/>
  <c r="S404" i="5"/>
  <c r="S395" i="5"/>
  <c r="S397" i="5"/>
  <c r="S398" i="5"/>
  <c r="S399" i="5"/>
  <c r="V357" i="5"/>
  <c r="S348" i="5"/>
  <c r="S349" i="5"/>
  <c r="S350" i="5"/>
  <c r="S351" i="5"/>
  <c r="S352" i="5"/>
  <c r="S353" i="5"/>
  <c r="S354" i="5"/>
  <c r="S356" i="5"/>
  <c r="O330" i="5"/>
  <c r="F322" i="5"/>
  <c r="E322" i="5"/>
  <c r="L322" i="5" s="1"/>
  <c r="D322" i="5"/>
  <c r="C322" i="5"/>
  <c r="B322" i="5"/>
  <c r="AB324" i="5"/>
  <c r="AF324" i="5" s="1"/>
  <c r="AJ324" i="5" s="1"/>
  <c r="AN324" i="5" s="1"/>
  <c r="AA324" i="5"/>
  <c r="L324" i="5"/>
  <c r="AB325" i="5"/>
  <c r="AF325" i="5" s="1"/>
  <c r="AJ325" i="5" s="1"/>
  <c r="AN325" i="5" s="1"/>
  <c r="L325" i="5"/>
  <c r="S308" i="5"/>
  <c r="S309" i="5"/>
  <c r="S310" i="5"/>
  <c r="S311" i="5"/>
  <c r="S312" i="5"/>
  <c r="S313" i="5"/>
  <c r="S314" i="5"/>
  <c r="L315" i="5"/>
  <c r="L316" i="5"/>
  <c r="W317" i="5"/>
  <c r="L317" i="5"/>
  <c r="R317" i="5"/>
  <c r="S300" i="5"/>
  <c r="S301" i="5"/>
  <c r="S302" i="5"/>
  <c r="S303" i="5"/>
  <c r="S304" i="5"/>
  <c r="S305" i="5"/>
  <c r="S306" i="5"/>
  <c r="S307" i="5"/>
  <c r="S264" i="5"/>
  <c r="S266" i="5"/>
  <c r="S267" i="5"/>
  <c r="S268" i="5"/>
  <c r="S269" i="5"/>
  <c r="S270" i="5"/>
  <c r="S271" i="5"/>
  <c r="S272" i="5"/>
  <c r="S273" i="5"/>
  <c r="F255" i="5"/>
  <c r="E255" i="5"/>
  <c r="L255" i="5" s="1"/>
  <c r="D255" i="5"/>
  <c r="C255" i="5"/>
  <c r="B255" i="5"/>
  <c r="L256" i="5"/>
  <c r="H135" i="1" l="1"/>
  <c r="O126" i="1"/>
  <c r="N126" i="1"/>
  <c r="K126" i="1"/>
  <c r="H283" i="5"/>
  <c r="H147" i="1"/>
  <c r="I147" i="1" s="1"/>
  <c r="F154" i="1"/>
  <c r="F166" i="1" s="1"/>
  <c r="I126" i="1"/>
  <c r="T256" i="5"/>
  <c r="U256" i="5"/>
  <c r="U255" i="5"/>
  <c r="T255" i="5"/>
  <c r="T324" i="5"/>
  <c r="U324" i="5"/>
  <c r="T325" i="5"/>
  <c r="U325" i="5"/>
  <c r="T322" i="5"/>
  <c r="U322" i="5"/>
  <c r="AE324" i="5"/>
  <c r="Z324" i="5"/>
  <c r="R256" i="5"/>
  <c r="S256" i="5"/>
  <c r="R325" i="5"/>
  <c r="S325" i="5"/>
  <c r="V364" i="5"/>
  <c r="S364" i="5"/>
  <c r="R322" i="5"/>
  <c r="S322" i="5"/>
  <c r="R359" i="5"/>
  <c r="S359" i="5"/>
  <c r="R360" i="5"/>
  <c r="S360" i="5"/>
  <c r="Q409" i="5"/>
  <c r="S409" i="5"/>
  <c r="R255" i="5"/>
  <c r="S255" i="5"/>
  <c r="V316" i="5"/>
  <c r="S316" i="5"/>
  <c r="R324" i="5"/>
  <c r="S324" i="5"/>
  <c r="R358" i="5"/>
  <c r="S358" i="5"/>
  <c r="R408" i="5"/>
  <c r="S408" i="5"/>
  <c r="R315" i="5"/>
  <c r="S315" i="5"/>
  <c r="R357" i="5"/>
  <c r="S357" i="5"/>
  <c r="W407" i="5"/>
  <c r="S407" i="5"/>
  <c r="P406" i="5"/>
  <c r="S406" i="5"/>
  <c r="R364" i="5"/>
  <c r="V360" i="5"/>
  <c r="V359" i="5"/>
  <c r="V358" i="5"/>
  <c r="W406" i="5"/>
  <c r="P164" i="1"/>
  <c r="P408" i="5"/>
  <c r="W408" i="5"/>
  <c r="Q408" i="5"/>
  <c r="R406" i="5"/>
  <c r="P407" i="5"/>
  <c r="V406" i="5"/>
  <c r="Q406" i="5"/>
  <c r="V409" i="5"/>
  <c r="R409" i="5"/>
  <c r="V407" i="5"/>
  <c r="Q407" i="5"/>
  <c r="P409" i="5"/>
  <c r="W409" i="5"/>
  <c r="M324" i="5"/>
  <c r="W322" i="5"/>
  <c r="Q316" i="5"/>
  <c r="P322" i="5"/>
  <c r="W324" i="5"/>
  <c r="V322" i="5"/>
  <c r="Q322" i="5"/>
  <c r="P324" i="5"/>
  <c r="Q324" i="5"/>
  <c r="V324" i="5"/>
  <c r="V325" i="5"/>
  <c r="P325" i="5"/>
  <c r="W325" i="5"/>
  <c r="P316" i="5"/>
  <c r="Q325" i="5"/>
  <c r="V315" i="5"/>
  <c r="W316" i="5"/>
  <c r="P315" i="5"/>
  <c r="W315" i="5"/>
  <c r="Q315" i="5"/>
  <c r="V317" i="5"/>
  <c r="R316" i="5"/>
  <c r="P317" i="5"/>
  <c r="M317" i="5"/>
  <c r="J317" i="5"/>
  <c r="Q317" i="5"/>
  <c r="X317" i="5" s="1"/>
  <c r="W255" i="5"/>
  <c r="P255" i="5"/>
  <c r="V255" i="5"/>
  <c r="V256" i="5"/>
  <c r="W256" i="5"/>
  <c r="Q255" i="5"/>
  <c r="P256" i="5"/>
  <c r="Q256" i="5"/>
  <c r="P126" i="1" l="1"/>
  <c r="AI324" i="5"/>
  <c r="AD324" i="5"/>
  <c r="X409" i="5"/>
  <c r="X407" i="5"/>
  <c r="X406" i="5"/>
  <c r="X408" i="5"/>
  <c r="J324" i="5"/>
  <c r="X316" i="5"/>
  <c r="X322" i="5"/>
  <c r="X324" i="5"/>
  <c r="X255" i="5"/>
  <c r="X315" i="5"/>
  <c r="X325" i="5"/>
  <c r="X256" i="5"/>
  <c r="AH324" i="5" l="1"/>
  <c r="AM324" i="5"/>
  <c r="AL324" i="5" s="1"/>
  <c r="H108" i="1"/>
  <c r="F241" i="5"/>
  <c r="E241" i="5"/>
  <c r="L241" i="5" s="1"/>
  <c r="D241" i="5"/>
  <c r="C241" i="5"/>
  <c r="B241" i="5"/>
  <c r="W171" i="5"/>
  <c r="V171" i="5"/>
  <c r="R171" i="5"/>
  <c r="Q171" i="5"/>
  <c r="P171" i="5"/>
  <c r="M171" i="5"/>
  <c r="B166" i="5"/>
  <c r="C166" i="5"/>
  <c r="D166" i="5"/>
  <c r="E166" i="5"/>
  <c r="F166" i="5"/>
  <c r="S128" i="5"/>
  <c r="S129" i="5"/>
  <c r="S130" i="5"/>
  <c r="S131" i="5"/>
  <c r="S132" i="5"/>
  <c r="S133" i="5"/>
  <c r="S135" i="5"/>
  <c r="S136" i="5"/>
  <c r="S137" i="5"/>
  <c r="S138" i="5"/>
  <c r="L139" i="5"/>
  <c r="L140" i="5"/>
  <c r="L144" i="5"/>
  <c r="L145" i="5"/>
  <c r="L146" i="5"/>
  <c r="S111" i="5"/>
  <c r="L111" i="5"/>
  <c r="S112" i="5"/>
  <c r="S113" i="5"/>
  <c r="L113" i="5"/>
  <c r="L114" i="5"/>
  <c r="S115" i="5"/>
  <c r="L115" i="5"/>
  <c r="L116" i="5"/>
  <c r="L117" i="5"/>
  <c r="L118" i="5"/>
  <c r="L119" i="5"/>
  <c r="L121" i="5"/>
  <c r="L122" i="5"/>
  <c r="S124" i="5"/>
  <c r="S125" i="5"/>
  <c r="L125" i="5"/>
  <c r="S126" i="5"/>
  <c r="L126" i="5"/>
  <c r="S127" i="5"/>
  <c r="W104" i="5"/>
  <c r="V104" i="5"/>
  <c r="R104" i="5"/>
  <c r="Q104" i="5"/>
  <c r="P104" i="5"/>
  <c r="M104" i="5"/>
  <c r="W98" i="5"/>
  <c r="V98" i="5"/>
  <c r="R98" i="5"/>
  <c r="Q98" i="5"/>
  <c r="P98" i="5"/>
  <c r="M98" i="5"/>
  <c r="W95" i="5"/>
  <c r="V95" i="5"/>
  <c r="R95" i="5"/>
  <c r="Q95" i="5"/>
  <c r="P95" i="5"/>
  <c r="M95" i="5"/>
  <c r="W93" i="5"/>
  <c r="V93" i="5"/>
  <c r="Q93" i="5"/>
  <c r="P93" i="5"/>
  <c r="M93" i="5"/>
  <c r="W86" i="5"/>
  <c r="V86" i="5"/>
  <c r="Q86" i="5"/>
  <c r="P86" i="5"/>
  <c r="M86" i="5"/>
  <c r="W90" i="5"/>
  <c r="V90" i="5"/>
  <c r="Q90" i="5"/>
  <c r="P90" i="5"/>
  <c r="M90" i="5"/>
  <c r="S56" i="5"/>
  <c r="S59" i="5"/>
  <c r="S20" i="5"/>
  <c r="S22" i="5"/>
  <c r="S23" i="5"/>
  <c r="S24" i="5"/>
  <c r="S25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S46" i="5"/>
  <c r="S47" i="5"/>
  <c r="S48" i="5"/>
  <c r="S49" i="5"/>
  <c r="S50" i="5"/>
  <c r="S51" i="5"/>
  <c r="S52" i="5"/>
  <c r="S53" i="5"/>
  <c r="S54" i="5"/>
  <c r="I322" i="5"/>
  <c r="AB322" i="5" s="1"/>
  <c r="H322" i="5"/>
  <c r="AA322" i="5" s="1"/>
  <c r="I255" i="5"/>
  <c r="H255" i="5"/>
  <c r="U241" i="5" l="1"/>
  <c r="T241" i="5"/>
  <c r="S183" i="5"/>
  <c r="U183" i="5"/>
  <c r="T183" i="5"/>
  <c r="S166" i="5"/>
  <c r="U166" i="5"/>
  <c r="T166" i="5"/>
  <c r="S182" i="5"/>
  <c r="T182" i="5"/>
  <c r="U182" i="5"/>
  <c r="S181" i="5"/>
  <c r="T181" i="5"/>
  <c r="U181" i="5"/>
  <c r="AE322" i="5"/>
  <c r="Z322" i="5"/>
  <c r="AF322" i="5"/>
  <c r="V28" i="6"/>
  <c r="U28" i="6"/>
  <c r="T28" i="6"/>
  <c r="M124" i="5"/>
  <c r="S55" i="5"/>
  <c r="P122" i="5"/>
  <c r="Q122" i="5"/>
  <c r="P118" i="5"/>
  <c r="Q118" i="5"/>
  <c r="R118" i="5"/>
  <c r="S118" i="5"/>
  <c r="R146" i="5"/>
  <c r="S146" i="5"/>
  <c r="R121" i="5"/>
  <c r="P121" i="5"/>
  <c r="Q121" i="5"/>
  <c r="S121" i="5"/>
  <c r="Q120" i="5"/>
  <c r="R120" i="5"/>
  <c r="P120" i="5"/>
  <c r="S120" i="5"/>
  <c r="Q117" i="5"/>
  <c r="P117" i="5"/>
  <c r="R145" i="5"/>
  <c r="S145" i="5"/>
  <c r="P140" i="5"/>
  <c r="J139" i="5"/>
  <c r="R241" i="5"/>
  <c r="S241" i="5"/>
  <c r="P119" i="5"/>
  <c r="Q119" i="5"/>
  <c r="P116" i="5"/>
  <c r="Q116" i="5"/>
  <c r="R116" i="5"/>
  <c r="S116" i="5"/>
  <c r="R144" i="5"/>
  <c r="S144" i="5"/>
  <c r="R140" i="5"/>
  <c r="S140" i="5"/>
  <c r="V139" i="5"/>
  <c r="S139" i="5"/>
  <c r="Q123" i="5"/>
  <c r="R123" i="5"/>
  <c r="S123" i="5"/>
  <c r="L120" i="5"/>
  <c r="L112" i="5"/>
  <c r="M112" i="5"/>
  <c r="L124" i="5"/>
  <c r="L123" i="5"/>
  <c r="W139" i="5"/>
  <c r="G322" i="5"/>
  <c r="R139" i="5"/>
  <c r="P241" i="5"/>
  <c r="V241" i="5"/>
  <c r="W241" i="5"/>
  <c r="Q241" i="5"/>
  <c r="X90" i="5"/>
  <c r="X171" i="5"/>
  <c r="W140" i="5"/>
  <c r="Q139" i="5"/>
  <c r="W145" i="5"/>
  <c r="V144" i="5"/>
  <c r="V140" i="5"/>
  <c r="W144" i="5"/>
  <c r="Q140" i="5"/>
  <c r="P145" i="5"/>
  <c r="P144" i="5"/>
  <c r="Q144" i="5"/>
  <c r="V146" i="5"/>
  <c r="V145" i="5"/>
  <c r="W146" i="5"/>
  <c r="Q145" i="5"/>
  <c r="P146" i="5"/>
  <c r="Q146" i="5"/>
  <c r="X104" i="5"/>
  <c r="X98" i="5"/>
  <c r="X95" i="5"/>
  <c r="X93" i="5"/>
  <c r="X86" i="5"/>
  <c r="S133" i="6"/>
  <c r="I409" i="5" s="1"/>
  <c r="AB409" i="5" s="1"/>
  <c r="AF409" i="5" s="1"/>
  <c r="AJ409" i="5" s="1"/>
  <c r="AN409" i="5" s="1"/>
  <c r="R133" i="6"/>
  <c r="W359" i="5"/>
  <c r="W364" i="5"/>
  <c r="R122" i="5"/>
  <c r="H166" i="5"/>
  <c r="S117" i="5"/>
  <c r="S114" i="5"/>
  <c r="S14" i="6"/>
  <c r="I111" i="5" s="1"/>
  <c r="S45" i="5"/>
  <c r="Q27" i="8"/>
  <c r="I35" i="5" s="1"/>
  <c r="P27" i="8"/>
  <c r="H35" i="5" s="1"/>
  <c r="P13" i="8"/>
  <c r="H21" i="5" s="1"/>
  <c r="G47" i="5"/>
  <c r="Q14" i="6" l="1"/>
  <c r="G111" i="5" s="1"/>
  <c r="Q133" i="6"/>
  <c r="G409" i="5" s="1"/>
  <c r="H409" i="5"/>
  <c r="AA409" i="5" s="1"/>
  <c r="AB37" i="5"/>
  <c r="AF37" i="5" s="1"/>
  <c r="AJ37" i="5" s="1"/>
  <c r="AN37" i="5" s="1"/>
  <c r="AA37" i="5"/>
  <c r="AE37" i="5" s="1"/>
  <c r="AB408" i="5"/>
  <c r="AF408" i="5" s="1"/>
  <c r="AJ408" i="5" s="1"/>
  <c r="AN408" i="5" s="1"/>
  <c r="AA408" i="5"/>
  <c r="AE408" i="5" s="1"/>
  <c r="Q117" i="6"/>
  <c r="J46" i="5"/>
  <c r="W39" i="8"/>
  <c r="Q57" i="6"/>
  <c r="AJ322" i="5"/>
  <c r="M325" i="5"/>
  <c r="AA325" i="5"/>
  <c r="AI322" i="5"/>
  <c r="AD322" i="5"/>
  <c r="Q55" i="6"/>
  <c r="Q56" i="6"/>
  <c r="U66" i="6"/>
  <c r="T66" i="6"/>
  <c r="V66" i="6"/>
  <c r="T36" i="6"/>
  <c r="U36" i="6"/>
  <c r="V36" i="6"/>
  <c r="U34" i="6"/>
  <c r="T34" i="6"/>
  <c r="V34" i="6"/>
  <c r="V24" i="6"/>
  <c r="U24" i="6"/>
  <c r="T24" i="6"/>
  <c r="O15" i="8"/>
  <c r="G23" i="5" s="1"/>
  <c r="T54" i="6"/>
  <c r="M121" i="5"/>
  <c r="M140" i="5"/>
  <c r="P139" i="5"/>
  <c r="J140" i="5"/>
  <c r="M139" i="5"/>
  <c r="X139" i="5"/>
  <c r="M406" i="5"/>
  <c r="J406" i="5"/>
  <c r="M120" i="5"/>
  <c r="X146" i="5"/>
  <c r="R117" i="5"/>
  <c r="H241" i="5"/>
  <c r="M122" i="5"/>
  <c r="Q364" i="5"/>
  <c r="X364" i="5" s="1"/>
  <c r="Q359" i="5"/>
  <c r="X359" i="5" s="1"/>
  <c r="Q357" i="5"/>
  <c r="J322" i="5"/>
  <c r="M322" i="5"/>
  <c r="W360" i="5"/>
  <c r="W358" i="5"/>
  <c r="T128" i="6"/>
  <c r="I241" i="5"/>
  <c r="V54" i="6"/>
  <c r="I166" i="5"/>
  <c r="R119" i="5"/>
  <c r="G255" i="5"/>
  <c r="S122" i="5"/>
  <c r="S119" i="5"/>
  <c r="Q360" i="5"/>
  <c r="Q358" i="5"/>
  <c r="X241" i="5"/>
  <c r="X140" i="5"/>
  <c r="X145" i="5"/>
  <c r="X144" i="5"/>
  <c r="U128" i="6"/>
  <c r="V128" i="6"/>
  <c r="Q84" i="6"/>
  <c r="G308" i="5" s="1"/>
  <c r="U54" i="6"/>
  <c r="J43" i="5"/>
  <c r="O27" i="8"/>
  <c r="G35" i="5" s="1"/>
  <c r="O13" i="8"/>
  <c r="G21" i="5" s="1"/>
  <c r="AE409" i="5" l="1"/>
  <c r="Z409" i="5"/>
  <c r="U56" i="6"/>
  <c r="T56" i="6"/>
  <c r="V56" i="6"/>
  <c r="T57" i="6"/>
  <c r="U57" i="6"/>
  <c r="V57" i="6"/>
  <c r="Z37" i="5"/>
  <c r="Y55" i="6"/>
  <c r="Z408" i="5"/>
  <c r="Y57" i="6"/>
  <c r="Y56" i="6"/>
  <c r="Y52" i="6"/>
  <c r="Y117" i="6"/>
  <c r="J325" i="5"/>
  <c r="J36" i="5"/>
  <c r="W27" i="8"/>
  <c r="W15" i="8"/>
  <c r="AD37" i="5"/>
  <c r="AI37" i="5"/>
  <c r="W13" i="8"/>
  <c r="Y84" i="6"/>
  <c r="M408" i="5"/>
  <c r="Y133" i="6"/>
  <c r="M111" i="5"/>
  <c r="Y14" i="6"/>
  <c r="AE325" i="5"/>
  <c r="Z325" i="5"/>
  <c r="AN322" i="5"/>
  <c r="AI408" i="5"/>
  <c r="AD408" i="5"/>
  <c r="AM322" i="5"/>
  <c r="AH322" i="5"/>
  <c r="V84" i="6"/>
  <c r="T84" i="6"/>
  <c r="U84" i="6"/>
  <c r="U77" i="6"/>
  <c r="T77" i="6"/>
  <c r="V77" i="6"/>
  <c r="T76" i="6"/>
  <c r="V76" i="6"/>
  <c r="U76" i="6"/>
  <c r="T75" i="6"/>
  <c r="U75" i="6"/>
  <c r="V75" i="6"/>
  <c r="T74" i="6"/>
  <c r="U74" i="6"/>
  <c r="V74" i="6"/>
  <c r="U73" i="6"/>
  <c r="T73" i="6"/>
  <c r="V73" i="6"/>
  <c r="U71" i="6"/>
  <c r="T71" i="6"/>
  <c r="V71" i="6"/>
  <c r="T70" i="6"/>
  <c r="V70" i="6"/>
  <c r="U70" i="6"/>
  <c r="T68" i="6"/>
  <c r="V68" i="6"/>
  <c r="U68" i="6"/>
  <c r="V69" i="6"/>
  <c r="U69" i="6"/>
  <c r="T69" i="6"/>
  <c r="T45" i="6"/>
  <c r="V45" i="6"/>
  <c r="U45" i="6"/>
  <c r="T43" i="6"/>
  <c r="V43" i="6"/>
  <c r="U43" i="6"/>
  <c r="V41" i="6"/>
  <c r="T33" i="6"/>
  <c r="V33" i="6"/>
  <c r="U33" i="6"/>
  <c r="V62" i="6"/>
  <c r="U62" i="6"/>
  <c r="T62" i="6"/>
  <c r="T31" i="6"/>
  <c r="V31" i="6"/>
  <c r="U31" i="6"/>
  <c r="U29" i="6"/>
  <c r="T29" i="6"/>
  <c r="V29" i="6"/>
  <c r="T22" i="6"/>
  <c r="V22" i="6"/>
  <c r="U22" i="6"/>
  <c r="T30" i="6"/>
  <c r="V30" i="6"/>
  <c r="U30" i="6"/>
  <c r="T20" i="6"/>
  <c r="V20" i="6"/>
  <c r="U20" i="6"/>
  <c r="T17" i="6"/>
  <c r="U17" i="6"/>
  <c r="V17" i="6"/>
  <c r="T18" i="6"/>
  <c r="V18" i="6"/>
  <c r="U18" i="6"/>
  <c r="M364" i="5"/>
  <c r="M113" i="5"/>
  <c r="T55" i="6"/>
  <c r="J359" i="5"/>
  <c r="M117" i="5"/>
  <c r="M115" i="5"/>
  <c r="J315" i="5"/>
  <c r="M407" i="5"/>
  <c r="T117" i="6"/>
  <c r="M114" i="5"/>
  <c r="U117" i="6"/>
  <c r="J144" i="5"/>
  <c r="M123" i="5"/>
  <c r="P123" i="5"/>
  <c r="U55" i="6"/>
  <c r="V117" i="6"/>
  <c r="M126" i="5"/>
  <c r="X358" i="5"/>
  <c r="V129" i="6"/>
  <c r="M116" i="5"/>
  <c r="X360" i="5"/>
  <c r="G166" i="5"/>
  <c r="V55" i="6"/>
  <c r="G241" i="5"/>
  <c r="R13" i="8"/>
  <c r="J255" i="5"/>
  <c r="M255" i="5"/>
  <c r="M125" i="5"/>
  <c r="U133" i="6"/>
  <c r="T133" i="6"/>
  <c r="V127" i="6"/>
  <c r="V133" i="6"/>
  <c r="U129" i="6"/>
  <c r="T129" i="6"/>
  <c r="R27" i="8"/>
  <c r="AI409" i="5" l="1"/>
  <c r="AD409" i="5"/>
  <c r="AM37" i="5"/>
  <c r="AL37" i="5" s="1"/>
  <c r="AH37" i="5"/>
  <c r="AL322" i="5"/>
  <c r="AH408" i="5"/>
  <c r="AM408" i="5"/>
  <c r="AL408" i="5" s="1"/>
  <c r="AI325" i="5"/>
  <c r="AD325" i="5"/>
  <c r="M315" i="5"/>
  <c r="J407" i="5"/>
  <c r="M409" i="5"/>
  <c r="M359" i="5"/>
  <c r="J409" i="5"/>
  <c r="J408" i="5"/>
  <c r="M144" i="5"/>
  <c r="J358" i="5"/>
  <c r="M358" i="5"/>
  <c r="J360" i="5"/>
  <c r="M360" i="5"/>
  <c r="J316" i="5"/>
  <c r="M316" i="5"/>
  <c r="J256" i="5"/>
  <c r="M256" i="5"/>
  <c r="M145" i="5"/>
  <c r="J145" i="5"/>
  <c r="J241" i="5"/>
  <c r="M241" i="5"/>
  <c r="J146" i="5"/>
  <c r="M146" i="5"/>
  <c r="AM409" i="5" l="1"/>
  <c r="AL409" i="5" s="1"/>
  <c r="AH409" i="5"/>
  <c r="AM325" i="5"/>
  <c r="AH325" i="5"/>
  <c r="I158" i="1"/>
  <c r="I163" i="1"/>
  <c r="H151" i="1"/>
  <c r="O151" i="1" s="1"/>
  <c r="H138" i="1"/>
  <c r="H141" i="1"/>
  <c r="H140" i="1"/>
  <c r="I283" i="5"/>
  <c r="H281" i="5"/>
  <c r="I96" i="1"/>
  <c r="I138" i="1" l="1"/>
  <c r="I189" i="5"/>
  <c r="I151" i="1"/>
  <c r="I140" i="1"/>
  <c r="I141" i="1"/>
  <c r="I97" i="1"/>
  <c r="I192" i="5" s="1"/>
  <c r="I94" i="1"/>
  <c r="I110" i="1"/>
  <c r="O110" i="1"/>
  <c r="I115" i="1"/>
  <c r="O115" i="1"/>
  <c r="I132" i="1"/>
  <c r="O132" i="1"/>
  <c r="I130" i="1"/>
  <c r="AL325" i="5"/>
  <c r="I109" i="1"/>
  <c r="I108" i="1"/>
  <c r="I112" i="1"/>
  <c r="I139" i="1"/>
  <c r="O139" i="1"/>
  <c r="O138" i="1"/>
  <c r="I137" i="1"/>
  <c r="O137" i="1"/>
  <c r="I152" i="1"/>
  <c r="I124" i="1"/>
  <c r="I157" i="1"/>
  <c r="H420" i="5"/>
  <c r="H99" i="1"/>
  <c r="O163" i="1"/>
  <c r="K163" i="1"/>
  <c r="N163" i="1"/>
  <c r="H118" i="1"/>
  <c r="H285" i="5" l="1"/>
  <c r="G281" i="5"/>
  <c r="G298" i="5"/>
  <c r="H421" i="5"/>
  <c r="G283" i="5"/>
  <c r="J283" i="5" s="1"/>
  <c r="G189" i="5"/>
  <c r="AA190" i="5"/>
  <c r="R190" i="5"/>
  <c r="I135" i="1"/>
  <c r="O114" i="1"/>
  <c r="AH172" i="5"/>
  <c r="AL172" i="5"/>
  <c r="AD172" i="5"/>
  <c r="AH173" i="5"/>
  <c r="AL173" i="5"/>
  <c r="AD173" i="5"/>
  <c r="J171" i="5"/>
  <c r="AD171" i="5"/>
  <c r="AH171" i="5"/>
  <c r="AL171" i="5"/>
  <c r="AA171" i="5"/>
  <c r="I102" i="1"/>
  <c r="I114" i="1"/>
  <c r="I285" i="5" s="1"/>
  <c r="H104" i="1"/>
  <c r="P163" i="1"/>
  <c r="H248" i="5" l="1"/>
  <c r="AA248" i="5" s="1"/>
  <c r="I248" i="5"/>
  <c r="AB248" i="5" s="1"/>
  <c r="G194" i="5"/>
  <c r="T194" i="5"/>
  <c r="H192" i="5"/>
  <c r="T287" i="5"/>
  <c r="L287" i="5"/>
  <c r="T298" i="5"/>
  <c r="L283" i="5"/>
  <c r="L298" i="5"/>
  <c r="J298" i="5"/>
  <c r="Z190" i="5"/>
  <c r="AE190" i="5"/>
  <c r="J190" i="5"/>
  <c r="L190" i="5"/>
  <c r="R193" i="5"/>
  <c r="G193" i="5"/>
  <c r="I118" i="1"/>
  <c r="G285" i="5" s="1"/>
  <c r="L171" i="5"/>
  <c r="AE171" i="5"/>
  <c r="Z171" i="5"/>
  <c r="G248" i="5"/>
  <c r="I34" i="1"/>
  <c r="I35" i="1"/>
  <c r="I41" i="1"/>
  <c r="I43" i="1"/>
  <c r="AB93" i="5"/>
  <c r="AF93" i="5" s="1"/>
  <c r="AJ93" i="5" s="1"/>
  <c r="AN93" i="5" s="1"/>
  <c r="K26" i="1"/>
  <c r="I19" i="1"/>
  <c r="I18" i="1"/>
  <c r="I20" i="1"/>
  <c r="I28" i="1"/>
  <c r="I21" i="1"/>
  <c r="I23" i="1"/>
  <c r="I25" i="1"/>
  <c r="I27" i="1"/>
  <c r="I29" i="1"/>
  <c r="I30" i="1"/>
  <c r="I22" i="1"/>
  <c r="J194" i="5" l="1"/>
  <c r="L194" i="5"/>
  <c r="J287" i="5"/>
  <c r="I17" i="1"/>
  <c r="I77" i="1"/>
  <c r="H153" i="5" s="1"/>
  <c r="I40" i="1"/>
  <c r="U87" i="5"/>
  <c r="I36" i="1"/>
  <c r="AD190" i="5"/>
  <c r="AI190" i="5"/>
  <c r="J193" i="5"/>
  <c r="L193" i="5"/>
  <c r="I15" i="1"/>
  <c r="H48" i="1"/>
  <c r="I16" i="1"/>
  <c r="I24" i="1"/>
  <c r="N24" i="1"/>
  <c r="S93" i="5"/>
  <c r="AB250" i="5"/>
  <c r="AB249" i="5"/>
  <c r="AF248" i="5"/>
  <c r="AE248" i="5"/>
  <c r="AA250" i="5"/>
  <c r="AA249" i="5"/>
  <c r="Z248" i="5"/>
  <c r="AI171" i="5"/>
  <c r="I26" i="1"/>
  <c r="O80" i="1"/>
  <c r="I80" i="1"/>
  <c r="I153" i="5" s="1"/>
  <c r="AA151" i="5"/>
  <c r="N26" i="1"/>
  <c r="O26" i="1"/>
  <c r="AB94" i="5" l="1"/>
  <c r="AF94" i="5" s="1"/>
  <c r="AJ94" i="5" s="1"/>
  <c r="AN94" i="5" s="1"/>
  <c r="T94" i="5"/>
  <c r="G87" i="5"/>
  <c r="G85" i="5" s="1"/>
  <c r="AB87" i="5"/>
  <c r="AA94" i="5"/>
  <c r="AH190" i="5"/>
  <c r="AM190" i="5"/>
  <c r="AL190" i="5" s="1"/>
  <c r="AA90" i="5"/>
  <c r="R90" i="5"/>
  <c r="G89" i="5"/>
  <c r="Z250" i="5"/>
  <c r="AA86" i="5"/>
  <c r="Z86" i="5" s="1"/>
  <c r="Z151" i="5"/>
  <c r="AE151" i="5"/>
  <c r="AM171" i="5"/>
  <c r="AI248" i="5"/>
  <c r="AE249" i="5"/>
  <c r="AE250" i="5"/>
  <c r="AD248" i="5"/>
  <c r="Z249" i="5"/>
  <c r="AF250" i="5"/>
  <c r="AF249" i="5"/>
  <c r="AJ248" i="5"/>
  <c r="R86" i="5"/>
  <c r="P26" i="1"/>
  <c r="Q81" i="8"/>
  <c r="G94" i="5" l="1"/>
  <c r="L94" i="5" s="1"/>
  <c r="U94" i="5"/>
  <c r="T106" i="5"/>
  <c r="Z94" i="5"/>
  <c r="AE94" i="5"/>
  <c r="AF87" i="5"/>
  <c r="Z87" i="5"/>
  <c r="J87" i="5"/>
  <c r="L87" i="5"/>
  <c r="AA93" i="5"/>
  <c r="Z93" i="5" s="1"/>
  <c r="Z90" i="5"/>
  <c r="AE90" i="5"/>
  <c r="J90" i="5"/>
  <c r="L90" i="5"/>
  <c r="R93" i="5"/>
  <c r="G93" i="5"/>
  <c r="AE86" i="5"/>
  <c r="AD86" i="5" s="1"/>
  <c r="AI151" i="5"/>
  <c r="AD151" i="5"/>
  <c r="AD250" i="5"/>
  <c r="AN248" i="5"/>
  <c r="AJ250" i="5"/>
  <c r="AJ249" i="5"/>
  <c r="AD249" i="5"/>
  <c r="AI250" i="5"/>
  <c r="AI249" i="5"/>
  <c r="AM248" i="5"/>
  <c r="AH248" i="5"/>
  <c r="Q9" i="8"/>
  <c r="Q41" i="8" s="1"/>
  <c r="I49" i="5" s="1"/>
  <c r="I467" i="5" s="1"/>
  <c r="P9" i="8"/>
  <c r="P41" i="8" s="1"/>
  <c r="H49" i="5" s="1"/>
  <c r="H467" i="5" s="1"/>
  <c r="K9" i="8"/>
  <c r="I9" i="8"/>
  <c r="R143" i="6" l="1"/>
  <c r="R142" i="6" s="1"/>
  <c r="R141" i="6"/>
  <c r="R140" i="6" s="1"/>
  <c r="J94" i="5"/>
  <c r="J93" i="5"/>
  <c r="AI94" i="5"/>
  <c r="AD94" i="5"/>
  <c r="AJ87" i="5"/>
  <c r="AD87" i="5"/>
  <c r="AE93" i="5"/>
  <c r="AD93" i="5" s="1"/>
  <c r="L93" i="5"/>
  <c r="AI90" i="5"/>
  <c r="AD90" i="5"/>
  <c r="AH250" i="5"/>
  <c r="AI86" i="5"/>
  <c r="AM86" i="5" s="1"/>
  <c r="AL86" i="5" s="1"/>
  <c r="AM151" i="5"/>
  <c r="AL151" i="5" s="1"/>
  <c r="AH151" i="5"/>
  <c r="AH249" i="5"/>
  <c r="AN250" i="5"/>
  <c r="AN249" i="5"/>
  <c r="AL248" i="5"/>
  <c r="AM250" i="5"/>
  <c r="AM249" i="5"/>
  <c r="H269" i="5"/>
  <c r="R122" i="6" l="1"/>
  <c r="H398" i="5" s="1"/>
  <c r="AA398" i="5" s="1"/>
  <c r="S141" i="6"/>
  <c r="S140" i="6" s="1"/>
  <c r="S143" i="6"/>
  <c r="S142" i="6" s="1"/>
  <c r="AN87" i="5"/>
  <c r="AL87" i="5" s="1"/>
  <c r="AH87" i="5"/>
  <c r="AM94" i="5"/>
  <c r="AL94" i="5" s="1"/>
  <c r="AH94" i="5"/>
  <c r="AI93" i="5"/>
  <c r="AH93" i="5" s="1"/>
  <c r="AM90" i="5"/>
  <c r="AL90" i="5" s="1"/>
  <c r="AH90" i="5"/>
  <c r="AH86" i="5"/>
  <c r="AL250" i="5"/>
  <c r="AL249" i="5"/>
  <c r="Q122" i="6" l="1"/>
  <c r="U122" i="6" s="1"/>
  <c r="Q143" i="6"/>
  <c r="Y143" i="6" s="1"/>
  <c r="AE398" i="5"/>
  <c r="Z398" i="5"/>
  <c r="H397" i="5"/>
  <c r="AA397" i="5" s="1"/>
  <c r="Q142" i="6"/>
  <c r="Y142" i="6" s="1"/>
  <c r="AM93" i="5"/>
  <c r="AL93" i="5" s="1"/>
  <c r="L98" i="1"/>
  <c r="L81" i="1"/>
  <c r="I157" i="5" s="1"/>
  <c r="L78" i="1"/>
  <c r="H157" i="5" s="1"/>
  <c r="L56" i="1"/>
  <c r="L55" i="1"/>
  <c r="H98" i="5" s="1"/>
  <c r="L51" i="1"/>
  <c r="L50" i="1"/>
  <c r="L47" i="1"/>
  <c r="L46" i="1"/>
  <c r="L45" i="1"/>
  <c r="I98" i="5" l="1"/>
  <c r="Y122" i="6"/>
  <c r="V122" i="6"/>
  <c r="G398" i="5"/>
  <c r="T122" i="6"/>
  <c r="G397" i="5"/>
  <c r="T121" i="6"/>
  <c r="Y121" i="6"/>
  <c r="V121" i="6"/>
  <c r="AE397" i="5"/>
  <c r="Z397" i="5"/>
  <c r="U121" i="6"/>
  <c r="AD398" i="5"/>
  <c r="AI398" i="5"/>
  <c r="Q140" i="6"/>
  <c r="Y140" i="6" s="1"/>
  <c r="Q141" i="6"/>
  <c r="Y141" i="6" s="1"/>
  <c r="I198" i="5"/>
  <c r="L135" i="1"/>
  <c r="G291" i="5" s="1"/>
  <c r="AH398" i="5" l="1"/>
  <c r="AM398" i="5"/>
  <c r="AL398" i="5" s="1"/>
  <c r="AD397" i="5"/>
  <c r="AI397" i="5"/>
  <c r="L291" i="5"/>
  <c r="J291" i="5"/>
  <c r="Q264" i="5"/>
  <c r="AH397" i="5" l="1"/>
  <c r="AM397" i="5"/>
  <c r="AL397" i="5" s="1"/>
  <c r="I341" i="5"/>
  <c r="J264" i="5"/>
  <c r="R264" i="5"/>
  <c r="M264" i="5"/>
  <c r="L264" i="5"/>
  <c r="V264" i="5"/>
  <c r="P264" i="5"/>
  <c r="W264" i="5"/>
  <c r="X264" i="5" s="1"/>
  <c r="J122" i="5" l="1"/>
  <c r="H153" i="1"/>
  <c r="S199" i="5"/>
  <c r="AB99" i="5"/>
  <c r="I153" i="1" l="1"/>
  <c r="L48" i="1"/>
  <c r="AF99" i="5"/>
  <c r="Z99" i="5"/>
  <c r="S99" i="5"/>
  <c r="G99" i="5"/>
  <c r="K149" i="1"/>
  <c r="I149" i="1"/>
  <c r="I390" i="5"/>
  <c r="I386" i="5"/>
  <c r="H390" i="5"/>
  <c r="K148" i="1"/>
  <c r="N148" i="1"/>
  <c r="O153" i="1"/>
  <c r="N153" i="1"/>
  <c r="K153" i="1"/>
  <c r="N149" i="1"/>
  <c r="O149" i="1"/>
  <c r="K141" i="1"/>
  <c r="AJ99" i="5" l="1"/>
  <c r="AD99" i="5"/>
  <c r="P149" i="1"/>
  <c r="Q149" i="1" s="1"/>
  <c r="P148" i="1"/>
  <c r="Q148" i="1" s="1"/>
  <c r="P153" i="1"/>
  <c r="Q153" i="1" s="1"/>
  <c r="N141" i="1"/>
  <c r="O141" i="1"/>
  <c r="K132" i="1"/>
  <c r="N132" i="1"/>
  <c r="AN99" i="5" l="1"/>
  <c r="AL99" i="5" s="1"/>
  <c r="AH99" i="5"/>
  <c r="P141" i="1"/>
  <c r="Q141" i="1" s="1"/>
  <c r="P132" i="1"/>
  <c r="Q132" i="1" s="1"/>
  <c r="V44" i="5" l="1"/>
  <c r="N108" i="1"/>
  <c r="N124" i="1"/>
  <c r="O35" i="1"/>
  <c r="O108" i="1" l="1"/>
  <c r="O124" i="1"/>
  <c r="K108" i="1"/>
  <c r="K124" i="1"/>
  <c r="P124" i="1" l="1"/>
  <c r="P108" i="1"/>
  <c r="Q124" i="1" l="1"/>
  <c r="Q108" i="1"/>
  <c r="K97" i="1" l="1"/>
  <c r="N97" i="1"/>
  <c r="P97" i="1" l="1"/>
  <c r="Q97" i="1" s="1"/>
  <c r="O22" i="1"/>
  <c r="N22" i="1"/>
  <c r="K22" i="1"/>
  <c r="O12" i="6"/>
  <c r="P22" i="1" l="1"/>
  <c r="Q22" i="1" s="1"/>
  <c r="Q26" i="1"/>
  <c r="M339" i="5" l="1"/>
  <c r="M340" i="5"/>
  <c r="M341" i="5"/>
  <c r="M342" i="5"/>
  <c r="M343" i="5"/>
  <c r="M344" i="5"/>
  <c r="M345" i="5"/>
  <c r="M346" i="5"/>
  <c r="M365" i="5"/>
  <c r="O366" i="5"/>
  <c r="N366" i="5"/>
  <c r="O373" i="5"/>
  <c r="N373" i="5"/>
  <c r="O384" i="5"/>
  <c r="N384" i="5"/>
  <c r="N29" i="1"/>
  <c r="O29" i="1"/>
  <c r="N30" i="1"/>
  <c r="O30" i="1"/>
  <c r="K29" i="1"/>
  <c r="K30" i="1"/>
  <c r="H442" i="5"/>
  <c r="O448" i="5"/>
  <c r="V450" i="5"/>
  <c r="V449" i="5"/>
  <c r="V447" i="5"/>
  <c r="V446" i="5"/>
  <c r="V441" i="5"/>
  <c r="V439" i="5"/>
  <c r="V438" i="5"/>
  <c r="V437" i="5"/>
  <c r="V436" i="5"/>
  <c r="V435" i="5"/>
  <c r="V434" i="5"/>
  <c r="V433" i="5"/>
  <c r="V432" i="5"/>
  <c r="V431" i="5"/>
  <c r="V430" i="5"/>
  <c r="V429" i="5"/>
  <c r="V426" i="5"/>
  <c r="V425" i="5"/>
  <c r="V424" i="5"/>
  <c r="V423" i="5"/>
  <c r="V422" i="5"/>
  <c r="V421" i="5"/>
  <c r="V420" i="5"/>
  <c r="V419" i="5"/>
  <c r="V147" i="5"/>
  <c r="V108" i="5"/>
  <c r="V107" i="5"/>
  <c r="V106" i="5"/>
  <c r="V101" i="5"/>
  <c r="V99" i="5"/>
  <c r="V96" i="5"/>
  <c r="V92" i="5"/>
  <c r="V89" i="5"/>
  <c r="V85" i="5"/>
  <c r="V54" i="5"/>
  <c r="V55" i="5"/>
  <c r="V56" i="5"/>
  <c r="V59" i="5"/>
  <c r="V60" i="5"/>
  <c r="V63" i="5"/>
  <c r="V64" i="5"/>
  <c r="V65" i="5"/>
  <c r="V66" i="5"/>
  <c r="V67" i="5"/>
  <c r="V68" i="5"/>
  <c r="V69" i="5"/>
  <c r="V70" i="5"/>
  <c r="V71" i="5"/>
  <c r="V72" i="5"/>
  <c r="V73" i="5"/>
  <c r="V74" i="5"/>
  <c r="V75" i="5"/>
  <c r="V76" i="5"/>
  <c r="V77" i="5"/>
  <c r="V78" i="5"/>
  <c r="V417" i="5"/>
  <c r="V415" i="5"/>
  <c r="V413" i="5"/>
  <c r="V393" i="5"/>
  <c r="V392" i="5"/>
  <c r="V391" i="5"/>
  <c r="V390" i="5"/>
  <c r="V389" i="5"/>
  <c r="V388" i="5"/>
  <c r="V387" i="5"/>
  <c r="V386" i="5"/>
  <c r="V385" i="5"/>
  <c r="V383" i="5"/>
  <c r="V382" i="5"/>
  <c r="V381" i="5"/>
  <c r="V380" i="5"/>
  <c r="V379" i="5"/>
  <c r="V378" i="5"/>
  <c r="V377" i="5"/>
  <c r="V376" i="5"/>
  <c r="V374" i="5"/>
  <c r="V372" i="5"/>
  <c r="V371" i="5"/>
  <c r="V370" i="5"/>
  <c r="V369" i="5"/>
  <c r="V368" i="5"/>
  <c r="V367" i="5"/>
  <c r="V365" i="5"/>
  <c r="V346" i="5"/>
  <c r="V345" i="5"/>
  <c r="V344" i="5"/>
  <c r="V343" i="5"/>
  <c r="V342" i="5"/>
  <c r="V341" i="5"/>
  <c r="V340" i="5"/>
  <c r="V339" i="5"/>
  <c r="V338" i="5"/>
  <c r="V337" i="5"/>
  <c r="V335" i="5"/>
  <c r="V334" i="5"/>
  <c r="V331" i="5"/>
  <c r="V329" i="5"/>
  <c r="V328" i="5"/>
  <c r="V327" i="5"/>
  <c r="V321" i="5"/>
  <c r="V319" i="5"/>
  <c r="V297" i="5"/>
  <c r="V294" i="5"/>
  <c r="V293" i="5"/>
  <c r="V290" i="5"/>
  <c r="V285" i="5"/>
  <c r="V284" i="5"/>
  <c r="V281" i="5"/>
  <c r="V280" i="5"/>
  <c r="V278" i="5"/>
  <c r="V277" i="5"/>
  <c r="V276" i="5"/>
  <c r="V275" i="5"/>
  <c r="V274" i="5"/>
  <c r="V273" i="5"/>
  <c r="V262" i="5"/>
  <c r="V260" i="5"/>
  <c r="V254" i="5"/>
  <c r="V253" i="5"/>
  <c r="V252" i="5"/>
  <c r="V251" i="5"/>
  <c r="V250" i="5"/>
  <c r="V249" i="5"/>
  <c r="V248" i="5"/>
  <c r="V247" i="5"/>
  <c r="V245" i="5"/>
  <c r="V244" i="5"/>
  <c r="V240" i="5"/>
  <c r="V238" i="5"/>
  <c r="V237" i="5"/>
  <c r="V236" i="5"/>
  <c r="V234" i="5"/>
  <c r="V233" i="5"/>
  <c r="V232" i="5"/>
  <c r="V231" i="5"/>
  <c r="V230" i="5"/>
  <c r="V229" i="5"/>
  <c r="V228" i="5"/>
  <c r="V227" i="5"/>
  <c r="V225" i="5"/>
  <c r="V224" i="5"/>
  <c r="V222" i="5"/>
  <c r="V221" i="5"/>
  <c r="V220" i="5"/>
  <c r="V219" i="5"/>
  <c r="V218" i="5"/>
  <c r="V217" i="5"/>
  <c r="V216" i="5"/>
  <c r="V215" i="5"/>
  <c r="V214" i="5"/>
  <c r="V212" i="5"/>
  <c r="V211" i="5"/>
  <c r="V207" i="5"/>
  <c r="V205" i="5"/>
  <c r="V202" i="5"/>
  <c r="V199" i="5"/>
  <c r="V196" i="5"/>
  <c r="V192" i="5"/>
  <c r="V189" i="5"/>
  <c r="V188" i="5"/>
  <c r="V186" i="5"/>
  <c r="V185" i="5"/>
  <c r="V179" i="5"/>
  <c r="V178" i="5"/>
  <c r="V177" i="5"/>
  <c r="V176" i="5"/>
  <c r="V175" i="5"/>
  <c r="V174" i="5"/>
  <c r="V173" i="5"/>
  <c r="V172" i="5"/>
  <c r="V170" i="5"/>
  <c r="V168" i="5"/>
  <c r="V167" i="5"/>
  <c r="V164" i="5"/>
  <c r="V163" i="5"/>
  <c r="V162" i="5"/>
  <c r="V159" i="5"/>
  <c r="V157" i="5"/>
  <c r="V155" i="5"/>
  <c r="V153" i="5"/>
  <c r="V151" i="5"/>
  <c r="V150" i="5"/>
  <c r="V149" i="5"/>
  <c r="W365" i="5"/>
  <c r="W344" i="5"/>
  <c r="W345" i="5"/>
  <c r="W346" i="5"/>
  <c r="Q337" i="5"/>
  <c r="Q344" i="5"/>
  <c r="Q345" i="5"/>
  <c r="Q346" i="5"/>
  <c r="Q365" i="5"/>
  <c r="R450" i="5"/>
  <c r="R449" i="5"/>
  <c r="R447" i="5"/>
  <c r="R446" i="5"/>
  <c r="R441" i="5"/>
  <c r="R439" i="5"/>
  <c r="R438" i="5"/>
  <c r="R437" i="5"/>
  <c r="R436" i="5"/>
  <c r="R435" i="5"/>
  <c r="R434" i="5"/>
  <c r="R433" i="5"/>
  <c r="R432" i="5"/>
  <c r="R431" i="5"/>
  <c r="R430" i="5"/>
  <c r="R429" i="5"/>
  <c r="R426" i="5"/>
  <c r="R425" i="5"/>
  <c r="R424" i="5"/>
  <c r="R423" i="5"/>
  <c r="R422" i="5"/>
  <c r="R421" i="5"/>
  <c r="R420" i="5"/>
  <c r="R419" i="5"/>
  <c r="R417" i="5"/>
  <c r="R415" i="5"/>
  <c r="R413" i="5"/>
  <c r="R393" i="5"/>
  <c r="R392" i="5"/>
  <c r="R391" i="5"/>
  <c r="R390" i="5"/>
  <c r="R389" i="5"/>
  <c r="R388" i="5"/>
  <c r="R387" i="5"/>
  <c r="R386" i="5"/>
  <c r="R385" i="5"/>
  <c r="R383" i="5"/>
  <c r="R382" i="5"/>
  <c r="R381" i="5"/>
  <c r="R380" i="5"/>
  <c r="R379" i="5"/>
  <c r="R378" i="5"/>
  <c r="R377" i="5"/>
  <c r="R376" i="5"/>
  <c r="R374" i="5"/>
  <c r="R372" i="5"/>
  <c r="R371" i="5"/>
  <c r="R370" i="5"/>
  <c r="R369" i="5"/>
  <c r="R368" i="5"/>
  <c r="R367" i="5"/>
  <c r="R365" i="5"/>
  <c r="R346" i="5"/>
  <c r="R345" i="5"/>
  <c r="R344" i="5"/>
  <c r="R343" i="5"/>
  <c r="R342" i="5"/>
  <c r="R341" i="5"/>
  <c r="R340" i="5"/>
  <c r="R339" i="5"/>
  <c r="R338" i="5"/>
  <c r="R337" i="5"/>
  <c r="R335" i="5"/>
  <c r="R334" i="5"/>
  <c r="R331" i="5"/>
  <c r="R329" i="5"/>
  <c r="R328" i="5"/>
  <c r="R327" i="5"/>
  <c r="R321" i="5"/>
  <c r="R319" i="5"/>
  <c r="R297" i="5"/>
  <c r="R294" i="5"/>
  <c r="R293" i="5"/>
  <c r="R290" i="5"/>
  <c r="R285" i="5"/>
  <c r="R284" i="5"/>
  <c r="R281" i="5"/>
  <c r="R280" i="5"/>
  <c r="R278" i="5"/>
  <c r="R277" i="5"/>
  <c r="R276" i="5"/>
  <c r="R275" i="5"/>
  <c r="R274" i="5"/>
  <c r="R273" i="5"/>
  <c r="R262" i="5"/>
  <c r="R260" i="5"/>
  <c r="R254" i="5"/>
  <c r="R253" i="5"/>
  <c r="R252" i="5"/>
  <c r="R251" i="5"/>
  <c r="R250" i="5"/>
  <c r="R249" i="5"/>
  <c r="R248" i="5"/>
  <c r="R247" i="5"/>
  <c r="R245" i="5"/>
  <c r="R244" i="5"/>
  <c r="R240" i="5"/>
  <c r="R238" i="5"/>
  <c r="R237" i="5"/>
  <c r="R236" i="5"/>
  <c r="R234" i="5"/>
  <c r="R233" i="5"/>
  <c r="R232" i="5"/>
  <c r="R231" i="5"/>
  <c r="R230" i="5"/>
  <c r="R229" i="5"/>
  <c r="R228" i="5"/>
  <c r="R227" i="5"/>
  <c r="R225" i="5"/>
  <c r="R224" i="5"/>
  <c r="R222" i="5"/>
  <c r="R221" i="5"/>
  <c r="R220" i="5"/>
  <c r="R219" i="5"/>
  <c r="R218" i="5"/>
  <c r="R217" i="5"/>
  <c r="R216" i="5"/>
  <c r="R215" i="5"/>
  <c r="R214" i="5"/>
  <c r="R212" i="5"/>
  <c r="R211" i="5"/>
  <c r="R207" i="5"/>
  <c r="R192" i="5"/>
  <c r="R189" i="5"/>
  <c r="R188" i="5"/>
  <c r="R186" i="5"/>
  <c r="R185" i="5"/>
  <c r="R179" i="5"/>
  <c r="R178" i="5"/>
  <c r="R177" i="5"/>
  <c r="R176" i="5"/>
  <c r="R175" i="5"/>
  <c r="R174" i="5"/>
  <c r="R173" i="5"/>
  <c r="R172" i="5"/>
  <c r="R170" i="5"/>
  <c r="R168" i="5"/>
  <c r="R167" i="5"/>
  <c r="R164" i="5"/>
  <c r="R163" i="5"/>
  <c r="R162" i="5"/>
  <c r="R159" i="5"/>
  <c r="R157" i="5"/>
  <c r="R155" i="5"/>
  <c r="R153" i="5"/>
  <c r="R151" i="5"/>
  <c r="R150" i="5"/>
  <c r="R149" i="5"/>
  <c r="R147" i="5"/>
  <c r="R108" i="5"/>
  <c r="R107" i="5"/>
  <c r="R101" i="5"/>
  <c r="R99" i="5"/>
  <c r="R92" i="5"/>
  <c r="R89" i="5"/>
  <c r="R85" i="5"/>
  <c r="R54" i="5"/>
  <c r="R55" i="5"/>
  <c r="R56" i="5"/>
  <c r="R59" i="5"/>
  <c r="R60" i="5"/>
  <c r="R63" i="5"/>
  <c r="R64" i="5"/>
  <c r="R65" i="5"/>
  <c r="R66" i="5"/>
  <c r="R67" i="5"/>
  <c r="R68" i="5"/>
  <c r="R69" i="5"/>
  <c r="R70" i="5"/>
  <c r="R71" i="5"/>
  <c r="R72" i="5"/>
  <c r="R73" i="5"/>
  <c r="R74" i="5"/>
  <c r="R75" i="5"/>
  <c r="R76" i="5"/>
  <c r="R77" i="5"/>
  <c r="R78" i="5"/>
  <c r="O79" i="5"/>
  <c r="P446" i="5"/>
  <c r="J446" i="5"/>
  <c r="M446" i="5"/>
  <c r="W446" i="5"/>
  <c r="F445" i="5"/>
  <c r="E445" i="5"/>
  <c r="L445" i="5" s="1"/>
  <c r="D445" i="5"/>
  <c r="C445" i="5"/>
  <c r="B445" i="5"/>
  <c r="B443" i="5"/>
  <c r="C443" i="5"/>
  <c r="D443" i="5"/>
  <c r="E443" i="5"/>
  <c r="F443" i="5"/>
  <c r="B444" i="5"/>
  <c r="C444" i="5"/>
  <c r="D444" i="5"/>
  <c r="E444" i="5"/>
  <c r="F444" i="5"/>
  <c r="F442" i="5"/>
  <c r="E442" i="5"/>
  <c r="D442" i="5"/>
  <c r="C442" i="5"/>
  <c r="B442" i="5"/>
  <c r="B428" i="5"/>
  <c r="C428" i="5"/>
  <c r="D428" i="5"/>
  <c r="E428" i="5"/>
  <c r="F428" i="5"/>
  <c r="F427" i="5"/>
  <c r="E427" i="5"/>
  <c r="D427" i="5"/>
  <c r="C427" i="5"/>
  <c r="B427" i="5"/>
  <c r="F416" i="5"/>
  <c r="E416" i="5"/>
  <c r="D416" i="5"/>
  <c r="C416" i="5"/>
  <c r="B416" i="5"/>
  <c r="V410" i="5"/>
  <c r="V405" i="5"/>
  <c r="V404" i="5"/>
  <c r="V395" i="5"/>
  <c r="R397" i="5"/>
  <c r="R398" i="5"/>
  <c r="R399" i="5"/>
  <c r="R400" i="5"/>
  <c r="R401" i="5"/>
  <c r="R402" i="5"/>
  <c r="R403" i="5"/>
  <c r="F394" i="5"/>
  <c r="E394" i="5"/>
  <c r="D394" i="5"/>
  <c r="C394" i="5"/>
  <c r="B394" i="5"/>
  <c r="F375" i="5"/>
  <c r="E375" i="5"/>
  <c r="D375" i="5"/>
  <c r="C375" i="5"/>
  <c r="B375" i="5"/>
  <c r="R356" i="5"/>
  <c r="P354" i="5"/>
  <c r="L354" i="5"/>
  <c r="V354" i="5"/>
  <c r="P353" i="5"/>
  <c r="V353" i="5"/>
  <c r="P352" i="5"/>
  <c r="L352" i="5"/>
  <c r="V352" i="5"/>
  <c r="V348" i="5"/>
  <c r="V349" i="5"/>
  <c r="V350" i="5"/>
  <c r="V351" i="5"/>
  <c r="F347" i="5"/>
  <c r="E347" i="5"/>
  <c r="D347" i="5"/>
  <c r="C347" i="5"/>
  <c r="B347" i="5"/>
  <c r="B333" i="5"/>
  <c r="C333" i="5"/>
  <c r="D333" i="5"/>
  <c r="E333" i="5"/>
  <c r="F333" i="5"/>
  <c r="F332" i="5"/>
  <c r="E332" i="5"/>
  <c r="D332" i="5"/>
  <c r="C332" i="5"/>
  <c r="B332" i="5"/>
  <c r="L318" i="5"/>
  <c r="V318" i="5"/>
  <c r="W314" i="5"/>
  <c r="R300" i="5"/>
  <c r="V301" i="5"/>
  <c r="V302" i="5"/>
  <c r="R303" i="5"/>
  <c r="R304" i="5"/>
  <c r="R305" i="5"/>
  <c r="R306" i="5"/>
  <c r="R307" i="5"/>
  <c r="R308" i="5"/>
  <c r="R309" i="5"/>
  <c r="R310" i="5"/>
  <c r="R311" i="5"/>
  <c r="R312" i="5"/>
  <c r="R313" i="5"/>
  <c r="F299" i="5"/>
  <c r="E299" i="5"/>
  <c r="D299" i="5"/>
  <c r="C299" i="5"/>
  <c r="B299" i="5"/>
  <c r="R266" i="5"/>
  <c r="R267" i="5"/>
  <c r="R268" i="5"/>
  <c r="V269" i="5"/>
  <c r="V270" i="5"/>
  <c r="R271" i="5"/>
  <c r="R272" i="5"/>
  <c r="F263" i="5"/>
  <c r="E263" i="5"/>
  <c r="D263" i="5"/>
  <c r="C263" i="5"/>
  <c r="B263" i="5"/>
  <c r="F235" i="5"/>
  <c r="E235" i="5"/>
  <c r="D235" i="5"/>
  <c r="C235" i="5"/>
  <c r="B235" i="5"/>
  <c r="F223" i="5"/>
  <c r="E223" i="5"/>
  <c r="D223" i="5"/>
  <c r="C223" i="5"/>
  <c r="B223" i="5"/>
  <c r="B210" i="5"/>
  <c r="C210" i="5"/>
  <c r="D210" i="5"/>
  <c r="E210" i="5"/>
  <c r="F210" i="5"/>
  <c r="F208" i="5"/>
  <c r="E208" i="5"/>
  <c r="D208" i="5"/>
  <c r="C208" i="5"/>
  <c r="B208" i="5"/>
  <c r="R181" i="5"/>
  <c r="R182" i="5"/>
  <c r="R183" i="5"/>
  <c r="F180" i="5"/>
  <c r="E180" i="5"/>
  <c r="D180" i="5"/>
  <c r="C180" i="5"/>
  <c r="B180" i="5"/>
  <c r="V166" i="5"/>
  <c r="F165" i="5"/>
  <c r="E165" i="5"/>
  <c r="D165" i="5"/>
  <c r="C165" i="5"/>
  <c r="B165" i="5"/>
  <c r="V136" i="5"/>
  <c r="P137" i="5"/>
  <c r="W138" i="5"/>
  <c r="L138" i="5"/>
  <c r="V110" i="5"/>
  <c r="R111" i="5"/>
  <c r="R112" i="5"/>
  <c r="V113" i="5"/>
  <c r="V114" i="5"/>
  <c r="R115" i="5"/>
  <c r="V117" i="5"/>
  <c r="V119" i="5"/>
  <c r="V120" i="5"/>
  <c r="V121" i="5"/>
  <c r="R124" i="5"/>
  <c r="R125" i="5"/>
  <c r="V126" i="5"/>
  <c r="R127" i="5"/>
  <c r="R128" i="5"/>
  <c r="R129" i="5"/>
  <c r="V130" i="5"/>
  <c r="R131" i="5"/>
  <c r="R132" i="5"/>
  <c r="R133" i="5"/>
  <c r="V135" i="5"/>
  <c r="V373" i="5" l="1"/>
  <c r="T180" i="5"/>
  <c r="T187" i="5" s="1"/>
  <c r="U180" i="5"/>
  <c r="U187" i="5" s="1"/>
  <c r="T208" i="5"/>
  <c r="U208" i="5"/>
  <c r="T243" i="5"/>
  <c r="T246" i="5" s="1"/>
  <c r="U243" i="5"/>
  <c r="U246" i="5" s="1"/>
  <c r="U326" i="5"/>
  <c r="U330" i="5" s="1"/>
  <c r="T326" i="5"/>
  <c r="T330" i="5" s="1"/>
  <c r="T428" i="5"/>
  <c r="U428" i="5"/>
  <c r="T445" i="5"/>
  <c r="U445" i="5"/>
  <c r="U210" i="5"/>
  <c r="T210" i="5"/>
  <c r="T259" i="5"/>
  <c r="T261" i="5" s="1"/>
  <c r="U259" i="5"/>
  <c r="U261" i="5" s="1"/>
  <c r="U332" i="5"/>
  <c r="T332" i="5"/>
  <c r="U375" i="5"/>
  <c r="U384" i="5" s="1"/>
  <c r="T375" i="5"/>
  <c r="T384" i="5" s="1"/>
  <c r="T442" i="5"/>
  <c r="U442" i="5"/>
  <c r="T165" i="5"/>
  <c r="T169" i="5" s="1"/>
  <c r="U165" i="5"/>
  <c r="U169" i="5" s="1"/>
  <c r="U223" i="5"/>
  <c r="U226" i="5" s="1"/>
  <c r="T223" i="5"/>
  <c r="T226" i="5" s="1"/>
  <c r="U263" i="5"/>
  <c r="U279" i="5" s="1"/>
  <c r="T263" i="5"/>
  <c r="T279" i="5" s="1"/>
  <c r="T299" i="5"/>
  <c r="U299" i="5"/>
  <c r="U320" i="5" s="1"/>
  <c r="T333" i="5"/>
  <c r="U333" i="5"/>
  <c r="T394" i="5"/>
  <c r="T414" i="5" s="1"/>
  <c r="U394" i="5"/>
  <c r="U414" i="5" s="1"/>
  <c r="T416" i="5"/>
  <c r="T418" i="5" s="1"/>
  <c r="U416" i="5"/>
  <c r="U418" i="5" s="1"/>
  <c r="T444" i="5"/>
  <c r="U444" i="5"/>
  <c r="T235" i="5"/>
  <c r="T239" i="5" s="1"/>
  <c r="U235" i="5"/>
  <c r="U239" i="5" s="1"/>
  <c r="T347" i="5"/>
  <c r="T366" i="5" s="1"/>
  <c r="U347" i="5"/>
  <c r="U366" i="5" s="1"/>
  <c r="U427" i="5"/>
  <c r="T427" i="5"/>
  <c r="U443" i="5"/>
  <c r="T443" i="5"/>
  <c r="R444" i="5"/>
  <c r="S444" i="5"/>
  <c r="R235" i="5"/>
  <c r="R239" i="5" s="1"/>
  <c r="S235" i="5"/>
  <c r="S239" i="5" s="1"/>
  <c r="R347" i="5"/>
  <c r="S347" i="5"/>
  <c r="S366" i="5" s="1"/>
  <c r="R427" i="5"/>
  <c r="S427" i="5"/>
  <c r="R443" i="5"/>
  <c r="S443" i="5"/>
  <c r="R165" i="5"/>
  <c r="S165" i="5"/>
  <c r="S169" i="5" s="1"/>
  <c r="R299" i="5"/>
  <c r="S299" i="5"/>
  <c r="S320" i="5" s="1"/>
  <c r="R333" i="5"/>
  <c r="S333" i="5"/>
  <c r="R416" i="5"/>
  <c r="R418" i="5" s="1"/>
  <c r="S416" i="5"/>
  <c r="S418" i="5" s="1"/>
  <c r="R180" i="5"/>
  <c r="R187" i="5" s="1"/>
  <c r="S180" i="5"/>
  <c r="S187" i="5" s="1"/>
  <c r="R208" i="5"/>
  <c r="S208" i="5"/>
  <c r="R243" i="5"/>
  <c r="R246" i="5" s="1"/>
  <c r="S243" i="5"/>
  <c r="S246" i="5" s="1"/>
  <c r="R326" i="5"/>
  <c r="R330" i="5" s="1"/>
  <c r="S326" i="5"/>
  <c r="S330" i="5" s="1"/>
  <c r="V428" i="5"/>
  <c r="S428" i="5"/>
  <c r="Q445" i="5"/>
  <c r="S445" i="5"/>
  <c r="R223" i="5"/>
  <c r="R226" i="5" s="1"/>
  <c r="S223" i="5"/>
  <c r="S226" i="5" s="1"/>
  <c r="R263" i="5"/>
  <c r="S263" i="5"/>
  <c r="S279" i="5" s="1"/>
  <c r="R394" i="5"/>
  <c r="S394" i="5"/>
  <c r="S414" i="5" s="1"/>
  <c r="V210" i="5"/>
  <c r="R259" i="5"/>
  <c r="R261" i="5" s="1"/>
  <c r="S259" i="5"/>
  <c r="S261" i="5" s="1"/>
  <c r="R332" i="5"/>
  <c r="S332" i="5"/>
  <c r="R375" i="5"/>
  <c r="R384" i="5" s="1"/>
  <c r="S375" i="5"/>
  <c r="S384" i="5" s="1"/>
  <c r="R442" i="5"/>
  <c r="S442" i="5"/>
  <c r="M353" i="5"/>
  <c r="V306" i="5"/>
  <c r="R130" i="5"/>
  <c r="R302" i="5"/>
  <c r="V263" i="5"/>
  <c r="V310" i="5"/>
  <c r="R270" i="5"/>
  <c r="R404" i="5"/>
  <c r="R428" i="5"/>
  <c r="V165" i="5"/>
  <c r="V169" i="5" s="1"/>
  <c r="V183" i="5"/>
  <c r="V259" i="5"/>
  <c r="V261" i="5" s="1"/>
  <c r="V266" i="5"/>
  <c r="V314" i="5"/>
  <c r="V399" i="5"/>
  <c r="V115" i="5"/>
  <c r="V133" i="5"/>
  <c r="V442" i="5"/>
  <c r="V124" i="5"/>
  <c r="R135" i="5"/>
  <c r="R269" i="5"/>
  <c r="V347" i="5"/>
  <c r="V111" i="5"/>
  <c r="V128" i="5"/>
  <c r="R113" i="5"/>
  <c r="V356" i="5"/>
  <c r="V403" i="5"/>
  <c r="V137" i="5"/>
  <c r="R373" i="5"/>
  <c r="V309" i="5"/>
  <c r="R353" i="5"/>
  <c r="V235" i="5"/>
  <c r="V239" i="5" s="1"/>
  <c r="V116" i="5"/>
  <c r="R126" i="5"/>
  <c r="R138" i="5"/>
  <c r="R166" i="5"/>
  <c r="V181" i="5"/>
  <c r="V223" i="5"/>
  <c r="V226" i="5" s="1"/>
  <c r="V243" i="5"/>
  <c r="V246" i="5" s="1"/>
  <c r="V267" i="5"/>
  <c r="V271" i="5"/>
  <c r="V299" i="5"/>
  <c r="V303" i="5"/>
  <c r="V307" i="5"/>
  <c r="V311" i="5"/>
  <c r="V332" i="5"/>
  <c r="V375" i="5"/>
  <c r="V384" i="5" s="1"/>
  <c r="V397" i="5"/>
  <c r="V401" i="5"/>
  <c r="V416" i="5"/>
  <c r="V418" i="5" s="1"/>
  <c r="V444" i="5"/>
  <c r="R301" i="5"/>
  <c r="R352" i="5"/>
  <c r="V305" i="5"/>
  <c r="V313" i="5"/>
  <c r="V394" i="5"/>
  <c r="V132" i="5"/>
  <c r="R395" i="5"/>
  <c r="V180" i="5"/>
  <c r="V400" i="5"/>
  <c r="V112" i="5"/>
  <c r="V125" i="5"/>
  <c r="V129" i="5"/>
  <c r="V138" i="5"/>
  <c r="V182" i="5"/>
  <c r="V208" i="5"/>
  <c r="V268" i="5"/>
  <c r="V272" i="5"/>
  <c r="V300" i="5"/>
  <c r="V304" i="5"/>
  <c r="V308" i="5"/>
  <c r="V312" i="5"/>
  <c r="V333" i="5"/>
  <c r="V398" i="5"/>
  <c r="V402" i="5"/>
  <c r="V118" i="5"/>
  <c r="V123" i="5"/>
  <c r="V127" i="5"/>
  <c r="V131" i="5"/>
  <c r="V427" i="5"/>
  <c r="P29" i="1"/>
  <c r="P30" i="1"/>
  <c r="W318" i="5"/>
  <c r="R318" i="5"/>
  <c r="R350" i="5"/>
  <c r="R349" i="5"/>
  <c r="W405" i="5"/>
  <c r="R405" i="5"/>
  <c r="W410" i="5"/>
  <c r="R410" i="5"/>
  <c r="R314" i="5"/>
  <c r="R445" i="5"/>
  <c r="R348" i="5"/>
  <c r="R351" i="5"/>
  <c r="W137" i="5"/>
  <c r="R137" i="5"/>
  <c r="W136" i="5"/>
  <c r="R136" i="5"/>
  <c r="R354" i="5"/>
  <c r="Q446" i="5"/>
  <c r="X446" i="5" s="1"/>
  <c r="L446" i="5"/>
  <c r="W445" i="5"/>
  <c r="P445" i="5"/>
  <c r="P410" i="5"/>
  <c r="Q410" i="5"/>
  <c r="L410" i="5"/>
  <c r="P405" i="5"/>
  <c r="Q405" i="5"/>
  <c r="L405" i="5"/>
  <c r="P318" i="5"/>
  <c r="P314" i="5"/>
  <c r="Q318" i="5"/>
  <c r="Q314" i="5"/>
  <c r="X314" i="5" s="1"/>
  <c r="P138" i="5"/>
  <c r="L314" i="5"/>
  <c r="Q137" i="5"/>
  <c r="L137" i="5"/>
  <c r="P136" i="5"/>
  <c r="Q138" i="5"/>
  <c r="X138" i="5" s="1"/>
  <c r="Q136" i="5"/>
  <c r="L136" i="5"/>
  <c r="V20" i="5"/>
  <c r="W22" i="5"/>
  <c r="F19" i="5"/>
  <c r="E19" i="5"/>
  <c r="D19" i="5"/>
  <c r="C19" i="5"/>
  <c r="B19" i="5"/>
  <c r="T440" i="5" l="1"/>
  <c r="U440" i="5"/>
  <c r="U19" i="5"/>
  <c r="U79" i="5" s="1"/>
  <c r="T19" i="5"/>
  <c r="U213" i="5"/>
  <c r="V336" i="5"/>
  <c r="V366" i="5"/>
  <c r="V279" i="5"/>
  <c r="U448" i="5"/>
  <c r="T336" i="5"/>
  <c r="V414" i="5"/>
  <c r="T448" i="5"/>
  <c r="U336" i="5"/>
  <c r="S448" i="5"/>
  <c r="V440" i="5"/>
  <c r="V19" i="5"/>
  <c r="S19" i="5"/>
  <c r="S79" i="5" s="1"/>
  <c r="R440" i="5"/>
  <c r="S440" i="5"/>
  <c r="R336" i="5"/>
  <c r="V213" i="5"/>
  <c r="R169" i="5"/>
  <c r="S336" i="5"/>
  <c r="X445" i="5"/>
  <c r="R448" i="5"/>
  <c r="V187" i="5"/>
  <c r="J354" i="5"/>
  <c r="J356" i="5"/>
  <c r="J353" i="5"/>
  <c r="M356" i="5"/>
  <c r="M354" i="5"/>
  <c r="R279" i="5"/>
  <c r="V320" i="5"/>
  <c r="R366" i="5"/>
  <c r="R43" i="5"/>
  <c r="V43" i="5"/>
  <c r="R42" i="5"/>
  <c r="V42" i="5"/>
  <c r="R41" i="5"/>
  <c r="V41" i="5"/>
  <c r="R40" i="5"/>
  <c r="V40" i="5"/>
  <c r="R39" i="5"/>
  <c r="V39" i="5"/>
  <c r="R38" i="5"/>
  <c r="V38" i="5"/>
  <c r="R37" i="5"/>
  <c r="V37" i="5"/>
  <c r="R36" i="5"/>
  <c r="V36" i="5"/>
  <c r="R35" i="5"/>
  <c r="V35" i="5"/>
  <c r="R34" i="5"/>
  <c r="V34" i="5"/>
  <c r="R33" i="5"/>
  <c r="V33" i="5"/>
  <c r="R32" i="5"/>
  <c r="V32" i="5"/>
  <c r="R31" i="5"/>
  <c r="V31" i="5"/>
  <c r="R30" i="5"/>
  <c r="V30" i="5"/>
  <c r="R29" i="5"/>
  <c r="V29" i="5"/>
  <c r="R28" i="5"/>
  <c r="V28" i="5"/>
  <c r="R25" i="5"/>
  <c r="V25" i="5"/>
  <c r="R24" i="5"/>
  <c r="V24" i="5"/>
  <c r="R23" i="5"/>
  <c r="V23" i="5"/>
  <c r="R22" i="5"/>
  <c r="V22" i="5"/>
  <c r="R49" i="5"/>
  <c r="V49" i="5"/>
  <c r="R48" i="5"/>
  <c r="V48" i="5"/>
  <c r="R47" i="5"/>
  <c r="V47" i="5"/>
  <c r="R46" i="5"/>
  <c r="R44" i="5"/>
  <c r="V52" i="5"/>
  <c r="R51" i="5"/>
  <c r="V51" i="5"/>
  <c r="R50" i="5"/>
  <c r="V50" i="5"/>
  <c r="R53" i="5"/>
  <c r="V53" i="5"/>
  <c r="X136" i="5"/>
  <c r="X137" i="5"/>
  <c r="X405" i="5"/>
  <c r="R320" i="5"/>
  <c r="R414" i="5"/>
  <c r="X318" i="5"/>
  <c r="W20" i="5"/>
  <c r="R20" i="5"/>
  <c r="W19" i="5"/>
  <c r="R19" i="5"/>
  <c r="X410" i="5"/>
  <c r="Q19" i="5"/>
  <c r="P19" i="5"/>
  <c r="Q20" i="5"/>
  <c r="Q22" i="5"/>
  <c r="X22" i="5" s="1"/>
  <c r="P22" i="5"/>
  <c r="P20" i="5"/>
  <c r="S72" i="6"/>
  <c r="I269" i="5" s="1"/>
  <c r="Q72" i="6" l="1"/>
  <c r="G269" i="5" s="1"/>
  <c r="X20" i="5"/>
  <c r="X19" i="5"/>
  <c r="Y72" i="6" l="1"/>
  <c r="T72" i="6"/>
  <c r="U72" i="6"/>
  <c r="V72" i="6"/>
  <c r="O112" i="1"/>
  <c r="I297" i="5" s="1"/>
  <c r="O147" i="1" l="1"/>
  <c r="H154" i="1" l="1"/>
  <c r="H144" i="1"/>
  <c r="I392" i="5"/>
  <c r="H392" i="5"/>
  <c r="H386" i="5"/>
  <c r="I338" i="5"/>
  <c r="AA338" i="5"/>
  <c r="O158" i="1"/>
  <c r="H425" i="5" s="1"/>
  <c r="N158" i="1"/>
  <c r="K158" i="1"/>
  <c r="N157" i="1"/>
  <c r="K157" i="1"/>
  <c r="H166" i="1" l="1"/>
  <c r="AB338" i="5"/>
  <c r="AB341" i="5" s="1"/>
  <c r="AA340" i="5"/>
  <c r="AA339" i="5"/>
  <c r="AE338" i="5"/>
  <c r="H424" i="5"/>
  <c r="H422" i="5"/>
  <c r="P158" i="1"/>
  <c r="Q158" i="1" s="1"/>
  <c r="P157" i="1"/>
  <c r="Z338" i="5" l="1"/>
  <c r="Z341" i="5"/>
  <c r="AE339" i="5"/>
  <c r="AI338" i="5"/>
  <c r="AE340" i="5"/>
  <c r="AB189" i="5"/>
  <c r="AB340" i="5"/>
  <c r="AB339" i="5"/>
  <c r="Z339" i="5" s="1"/>
  <c r="AF338" i="5"/>
  <c r="AD338" i="5" s="1"/>
  <c r="Q157" i="1"/>
  <c r="AB203" i="5" l="1"/>
  <c r="AB206" i="5"/>
  <c r="AB197" i="5"/>
  <c r="AB200" i="5"/>
  <c r="AB198" i="5"/>
  <c r="AB194" i="5"/>
  <c r="AB193" i="5"/>
  <c r="AB195" i="5"/>
  <c r="AF189" i="5"/>
  <c r="AF197" i="5" s="1"/>
  <c r="AB192" i="5"/>
  <c r="AB196" i="5"/>
  <c r="Z340" i="5"/>
  <c r="AI339" i="5"/>
  <c r="AM338" i="5"/>
  <c r="AI340" i="5"/>
  <c r="AF339" i="5"/>
  <c r="AD339" i="5" s="1"/>
  <c r="AJ338" i="5"/>
  <c r="AH338" i="5" s="1"/>
  <c r="AF340" i="5"/>
  <c r="AD340" i="5" s="1"/>
  <c r="AB199" i="5"/>
  <c r="AF341" i="5"/>
  <c r="AF203" i="5" l="1"/>
  <c r="AF206" i="5"/>
  <c r="AF200" i="5"/>
  <c r="AF198" i="5"/>
  <c r="AF194" i="5"/>
  <c r="AF193" i="5"/>
  <c r="AF195" i="5"/>
  <c r="AF199" i="5"/>
  <c r="AN338" i="5"/>
  <c r="AL338" i="5" s="1"/>
  <c r="AJ340" i="5"/>
  <c r="AH340" i="5" s="1"/>
  <c r="AJ339" i="5"/>
  <c r="AH339" i="5" s="1"/>
  <c r="AD341" i="5"/>
  <c r="AJ341" i="5"/>
  <c r="AM339" i="5"/>
  <c r="AM340" i="5"/>
  <c r="AF196" i="5"/>
  <c r="AF192" i="5"/>
  <c r="AJ189" i="5"/>
  <c r="AJ197" i="5" s="1"/>
  <c r="AJ206" i="5" l="1"/>
  <c r="AJ203" i="5"/>
  <c r="AJ200" i="5"/>
  <c r="AJ198" i="5"/>
  <c r="AJ194" i="5"/>
  <c r="AJ193" i="5"/>
  <c r="AJ195" i="5"/>
  <c r="AJ196" i="5"/>
  <c r="AN189" i="5"/>
  <c r="AN197" i="5" s="1"/>
  <c r="AJ192" i="5"/>
  <c r="AH341" i="5"/>
  <c r="AN341" i="5"/>
  <c r="AL341" i="5" s="1"/>
  <c r="AN339" i="5"/>
  <c r="AL339" i="5" s="1"/>
  <c r="AN340" i="5"/>
  <c r="AJ199" i="5"/>
  <c r="H443" i="5"/>
  <c r="AN203" i="5" l="1"/>
  <c r="AN206" i="5"/>
  <c r="AN200" i="5"/>
  <c r="AN198" i="5"/>
  <c r="AN194" i="5"/>
  <c r="AN193" i="5"/>
  <c r="AN195" i="5"/>
  <c r="AN199" i="5"/>
  <c r="AN196" i="5"/>
  <c r="AN192" i="5"/>
  <c r="AL340" i="5"/>
  <c r="O51" i="1"/>
  <c r="K51" i="1" l="1"/>
  <c r="N51" i="1"/>
  <c r="I51" i="1"/>
  <c r="P51" i="1" l="1"/>
  <c r="A64" i="1"/>
  <c r="L86" i="5" l="1"/>
  <c r="J86" i="5"/>
  <c r="Q64" i="1"/>
  <c r="R52" i="5" l="1"/>
  <c r="O40" i="8"/>
  <c r="G48" i="5" s="1"/>
  <c r="R45" i="5"/>
  <c r="V46" i="5"/>
  <c r="S110" i="5"/>
  <c r="G416" i="5"/>
  <c r="G394" i="5"/>
  <c r="G299" i="5"/>
  <c r="G263" i="5"/>
  <c r="G279" i="5" s="1"/>
  <c r="J47" i="5" l="1"/>
  <c r="W40" i="8"/>
  <c r="J40" i="5"/>
  <c r="R79" i="5"/>
  <c r="R110" i="5"/>
  <c r="J405" i="5"/>
  <c r="I210" i="5"/>
  <c r="AB210" i="5" s="1"/>
  <c r="AF210" i="5" s="1"/>
  <c r="AJ210" i="5" s="1"/>
  <c r="AN210" i="5" s="1"/>
  <c r="M349" i="5"/>
  <c r="J44" i="5"/>
  <c r="R40" i="8"/>
  <c r="R114" i="5"/>
  <c r="J39" i="5"/>
  <c r="J42" i="5"/>
  <c r="J45" i="5"/>
  <c r="V45" i="5"/>
  <c r="V79" i="5" s="1"/>
  <c r="J41" i="5"/>
  <c r="J318" i="5"/>
  <c r="M318" i="5"/>
  <c r="J314" i="5"/>
  <c r="M314" i="5"/>
  <c r="J410" i="5"/>
  <c r="M410" i="5"/>
  <c r="S210" i="5" l="1"/>
  <c r="M405" i="5"/>
  <c r="M351" i="5"/>
  <c r="M348" i="5"/>
  <c r="J349" i="5"/>
  <c r="M350" i="5"/>
  <c r="J348" i="5"/>
  <c r="J350" i="5"/>
  <c r="J351" i="5"/>
  <c r="I445" i="5"/>
  <c r="V445" i="5" s="1"/>
  <c r="U13" i="6" l="1"/>
  <c r="T13" i="6"/>
  <c r="V13" i="6"/>
  <c r="I444" i="5"/>
  <c r="T103" i="5" l="1"/>
  <c r="K152" i="1"/>
  <c r="K151" i="1"/>
  <c r="O140" i="1"/>
  <c r="N140" i="1"/>
  <c r="K140" i="1"/>
  <c r="N139" i="1"/>
  <c r="K139" i="1"/>
  <c r="AA172" i="5" l="1"/>
  <c r="AE172" i="5" s="1"/>
  <c r="T97" i="5"/>
  <c r="I343" i="5"/>
  <c r="AB343" i="5" s="1"/>
  <c r="I389" i="5"/>
  <c r="N151" i="1"/>
  <c r="P151" i="1" s="1"/>
  <c r="N152" i="1"/>
  <c r="P139" i="1"/>
  <c r="Q139" i="1" s="1"/>
  <c r="P140" i="1"/>
  <c r="Q140" i="1" s="1"/>
  <c r="Q163" i="1"/>
  <c r="Q164" i="1"/>
  <c r="J23" i="5"/>
  <c r="Z172" i="5" l="1"/>
  <c r="Z343" i="5"/>
  <c r="AF343" i="5"/>
  <c r="AI172" i="5"/>
  <c r="I391" i="5"/>
  <c r="I388" i="5"/>
  <c r="Q151" i="1"/>
  <c r="P152" i="1"/>
  <c r="Q152" i="1" s="1"/>
  <c r="AM172" i="5" l="1"/>
  <c r="AD343" i="5"/>
  <c r="AJ343" i="5"/>
  <c r="J399" i="5"/>
  <c r="K36" i="1"/>
  <c r="N40" i="1"/>
  <c r="N43" i="1"/>
  <c r="K96" i="1"/>
  <c r="N114" i="1"/>
  <c r="K130" i="1"/>
  <c r="K21" i="1"/>
  <c r="N147" i="1"/>
  <c r="K147" i="1"/>
  <c r="P300" i="5"/>
  <c r="L300" i="5"/>
  <c r="W301" i="5"/>
  <c r="L301" i="5"/>
  <c r="P301" i="5"/>
  <c r="Q302" i="5"/>
  <c r="L302" i="5"/>
  <c r="P303" i="5"/>
  <c r="L303" i="5"/>
  <c r="W304" i="5"/>
  <c r="L304" i="5"/>
  <c r="P305" i="5"/>
  <c r="L305" i="5"/>
  <c r="P306" i="5"/>
  <c r="L306" i="5"/>
  <c r="P307" i="5"/>
  <c r="W308" i="5"/>
  <c r="L308" i="5"/>
  <c r="P309" i="5"/>
  <c r="L309" i="5"/>
  <c r="Q310" i="5"/>
  <c r="L310" i="5"/>
  <c r="W311" i="5"/>
  <c r="L311" i="5"/>
  <c r="Q312" i="5"/>
  <c r="W313" i="5"/>
  <c r="L313" i="5"/>
  <c r="W268" i="5"/>
  <c r="L268" i="5"/>
  <c r="P269" i="5"/>
  <c r="L269" i="5"/>
  <c r="Q270" i="5"/>
  <c r="L270" i="5"/>
  <c r="W110" i="5"/>
  <c r="L110" i="5"/>
  <c r="Q111" i="5"/>
  <c r="Q112" i="5"/>
  <c r="P113" i="5"/>
  <c r="P114" i="5"/>
  <c r="Q115" i="5"/>
  <c r="W116" i="5"/>
  <c r="W118" i="5"/>
  <c r="W119" i="5"/>
  <c r="W124" i="5"/>
  <c r="P125" i="5"/>
  <c r="Q126" i="5"/>
  <c r="J126" i="5"/>
  <c r="Q127" i="5"/>
  <c r="L128" i="5"/>
  <c r="W129" i="5"/>
  <c r="L129" i="5"/>
  <c r="W130" i="5"/>
  <c r="L130" i="5"/>
  <c r="W131" i="5"/>
  <c r="Q132" i="5"/>
  <c r="L132" i="5"/>
  <c r="Q133" i="5"/>
  <c r="L133" i="5"/>
  <c r="Q135" i="5"/>
  <c r="L135" i="5"/>
  <c r="N112" i="1"/>
  <c r="N80" i="1"/>
  <c r="K41" i="1"/>
  <c r="N41" i="1"/>
  <c r="O41" i="1"/>
  <c r="K110" i="1"/>
  <c r="H150" i="5"/>
  <c r="K112" i="1"/>
  <c r="P438" i="5"/>
  <c r="P437" i="5"/>
  <c r="P436" i="5"/>
  <c r="P435" i="5"/>
  <c r="P434" i="5"/>
  <c r="P433" i="5"/>
  <c r="P432" i="5"/>
  <c r="P431" i="5"/>
  <c r="P430" i="5"/>
  <c r="P429" i="5"/>
  <c r="P426" i="5"/>
  <c r="P425" i="5"/>
  <c r="P424" i="5"/>
  <c r="P423" i="5"/>
  <c r="P422" i="5"/>
  <c r="P421" i="5"/>
  <c r="P420" i="5"/>
  <c r="P404" i="5"/>
  <c r="P393" i="5"/>
  <c r="P392" i="5"/>
  <c r="P391" i="5"/>
  <c r="P390" i="5"/>
  <c r="P389" i="5"/>
  <c r="P388" i="5"/>
  <c r="P387" i="5"/>
  <c r="P386" i="5"/>
  <c r="P382" i="5"/>
  <c r="P381" i="5"/>
  <c r="P380" i="5"/>
  <c r="P379" i="5"/>
  <c r="P378" i="5"/>
  <c r="P377" i="5"/>
  <c r="P376" i="5"/>
  <c r="P370" i="5"/>
  <c r="P369" i="5"/>
  <c r="P368" i="5"/>
  <c r="P346" i="5"/>
  <c r="P345" i="5"/>
  <c r="P344" i="5"/>
  <c r="P343" i="5"/>
  <c r="P342" i="5"/>
  <c r="P341" i="5"/>
  <c r="P340" i="5"/>
  <c r="P339" i="5"/>
  <c r="P338" i="5"/>
  <c r="P334" i="5"/>
  <c r="P328" i="5"/>
  <c r="P297" i="5"/>
  <c r="P294" i="5"/>
  <c r="P293" i="5"/>
  <c r="P290" i="5"/>
  <c r="P285" i="5"/>
  <c r="P284" i="5"/>
  <c r="P281" i="5"/>
  <c r="P277" i="5"/>
  <c r="P276" i="5"/>
  <c r="P275" i="5"/>
  <c r="P274" i="5"/>
  <c r="P273" i="5"/>
  <c r="P272" i="5"/>
  <c r="P254" i="5"/>
  <c r="P253" i="5"/>
  <c r="P252" i="5"/>
  <c r="P251" i="5"/>
  <c r="P250" i="5"/>
  <c r="P249" i="5"/>
  <c r="P248" i="5"/>
  <c r="P244" i="5"/>
  <c r="P237" i="5"/>
  <c r="P234" i="5"/>
  <c r="P233" i="5"/>
  <c r="P232" i="5"/>
  <c r="P231" i="5"/>
  <c r="P230" i="5"/>
  <c r="P229" i="5"/>
  <c r="P228" i="5"/>
  <c r="P224" i="5"/>
  <c r="P222" i="5"/>
  <c r="P221" i="5"/>
  <c r="P220" i="5"/>
  <c r="P219" i="5"/>
  <c r="P218" i="5"/>
  <c r="P217" i="5"/>
  <c r="P216" i="5"/>
  <c r="P215" i="5"/>
  <c r="P211" i="5"/>
  <c r="P210" i="5"/>
  <c r="P207" i="5"/>
  <c r="P205" i="5"/>
  <c r="P202" i="5"/>
  <c r="P199" i="5"/>
  <c r="P196" i="5"/>
  <c r="P192" i="5"/>
  <c r="P189" i="5"/>
  <c r="P185" i="5"/>
  <c r="P183" i="5"/>
  <c r="P182" i="5"/>
  <c r="P179" i="5"/>
  <c r="P178" i="5"/>
  <c r="P177" i="5"/>
  <c r="P176" i="5"/>
  <c r="P175" i="5"/>
  <c r="P174" i="5"/>
  <c r="P173" i="5"/>
  <c r="P172" i="5"/>
  <c r="P167" i="5"/>
  <c r="P166" i="5"/>
  <c r="P164" i="5"/>
  <c r="P163" i="5"/>
  <c r="P162" i="5"/>
  <c r="P159" i="5"/>
  <c r="P157" i="5"/>
  <c r="P155" i="5"/>
  <c r="P153" i="5"/>
  <c r="P151" i="5"/>
  <c r="P150" i="5"/>
  <c r="P108" i="5"/>
  <c r="P107" i="5"/>
  <c r="P106" i="5"/>
  <c r="P101" i="5"/>
  <c r="P99" i="5"/>
  <c r="P96" i="5"/>
  <c r="P92" i="5"/>
  <c r="P89" i="5"/>
  <c r="P85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0" i="5"/>
  <c r="P59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W450" i="5"/>
  <c r="Q450" i="5"/>
  <c r="W449" i="5"/>
  <c r="Q449" i="5"/>
  <c r="W447" i="5"/>
  <c r="Q447" i="5"/>
  <c r="W441" i="5"/>
  <c r="Q441" i="5"/>
  <c r="W439" i="5"/>
  <c r="Q439" i="5"/>
  <c r="W438" i="5"/>
  <c r="Q438" i="5"/>
  <c r="W437" i="5"/>
  <c r="Q437" i="5"/>
  <c r="W436" i="5"/>
  <c r="Q436" i="5"/>
  <c r="W435" i="5"/>
  <c r="Q435" i="5"/>
  <c r="W434" i="5"/>
  <c r="Q434" i="5"/>
  <c r="W433" i="5"/>
  <c r="Q433" i="5"/>
  <c r="W432" i="5"/>
  <c r="Q432" i="5"/>
  <c r="W431" i="5"/>
  <c r="Q431" i="5"/>
  <c r="W430" i="5"/>
  <c r="Q430" i="5"/>
  <c r="W429" i="5"/>
  <c r="Q429" i="5"/>
  <c r="W426" i="5"/>
  <c r="Q426" i="5"/>
  <c r="W425" i="5"/>
  <c r="Q425" i="5"/>
  <c r="W424" i="5"/>
  <c r="Q424" i="5"/>
  <c r="W423" i="5"/>
  <c r="Q423" i="5"/>
  <c r="W422" i="5"/>
  <c r="Q422" i="5"/>
  <c r="W421" i="5"/>
  <c r="Q421" i="5"/>
  <c r="W420" i="5"/>
  <c r="Q420" i="5"/>
  <c r="W419" i="5"/>
  <c r="Q419" i="5"/>
  <c r="W417" i="5"/>
  <c r="Q417" i="5"/>
  <c r="W415" i="5"/>
  <c r="Q415" i="5"/>
  <c r="W413" i="5"/>
  <c r="Q413" i="5"/>
  <c r="W404" i="5"/>
  <c r="Q404" i="5"/>
  <c r="W393" i="5"/>
  <c r="Q393" i="5"/>
  <c r="W392" i="5"/>
  <c r="Q392" i="5"/>
  <c r="W391" i="5"/>
  <c r="Q391" i="5"/>
  <c r="W390" i="5"/>
  <c r="Q390" i="5"/>
  <c r="W389" i="5"/>
  <c r="Q389" i="5"/>
  <c r="W388" i="5"/>
  <c r="Q388" i="5"/>
  <c r="W387" i="5"/>
  <c r="Q387" i="5"/>
  <c r="W386" i="5"/>
  <c r="Q386" i="5"/>
  <c r="W385" i="5"/>
  <c r="Q385" i="5"/>
  <c r="W383" i="5"/>
  <c r="Q383" i="5"/>
  <c r="W382" i="5"/>
  <c r="Q382" i="5"/>
  <c r="W381" i="5"/>
  <c r="Q381" i="5"/>
  <c r="W380" i="5"/>
  <c r="Q380" i="5"/>
  <c r="W379" i="5"/>
  <c r="Q379" i="5"/>
  <c r="W378" i="5"/>
  <c r="Q378" i="5"/>
  <c r="W377" i="5"/>
  <c r="Q377" i="5"/>
  <c r="W376" i="5"/>
  <c r="Q376" i="5"/>
  <c r="W374" i="5"/>
  <c r="Q374" i="5"/>
  <c r="W372" i="5"/>
  <c r="Q372" i="5"/>
  <c r="W370" i="5"/>
  <c r="Q370" i="5"/>
  <c r="W369" i="5"/>
  <c r="Q369" i="5"/>
  <c r="W368" i="5"/>
  <c r="Q368" i="5"/>
  <c r="W367" i="5"/>
  <c r="Q367" i="5"/>
  <c r="W337" i="5"/>
  <c r="W335" i="5"/>
  <c r="Q335" i="5"/>
  <c r="W334" i="5"/>
  <c r="Q334" i="5"/>
  <c r="W331" i="5"/>
  <c r="Q331" i="5"/>
  <c r="W329" i="5"/>
  <c r="Q329" i="5"/>
  <c r="W328" i="5"/>
  <c r="Q328" i="5"/>
  <c r="W321" i="5"/>
  <c r="Q321" i="5"/>
  <c r="W319" i="5"/>
  <c r="Q319" i="5"/>
  <c r="W297" i="5"/>
  <c r="Q297" i="5"/>
  <c r="W294" i="5"/>
  <c r="Q294" i="5"/>
  <c r="W293" i="5"/>
  <c r="Q293" i="5"/>
  <c r="W290" i="5"/>
  <c r="Q290" i="5"/>
  <c r="W285" i="5"/>
  <c r="Q285" i="5"/>
  <c r="W284" i="5"/>
  <c r="Q284" i="5"/>
  <c r="W281" i="5"/>
  <c r="Q281" i="5"/>
  <c r="W280" i="5"/>
  <c r="Q280" i="5"/>
  <c r="W278" i="5"/>
  <c r="Q278" i="5"/>
  <c r="W277" i="5"/>
  <c r="Q277" i="5"/>
  <c r="W276" i="5"/>
  <c r="Q276" i="5"/>
  <c r="W275" i="5"/>
  <c r="Q275" i="5"/>
  <c r="W274" i="5"/>
  <c r="Q274" i="5"/>
  <c r="W273" i="5"/>
  <c r="Q273" i="5"/>
  <c r="W272" i="5"/>
  <c r="Q272" i="5"/>
  <c r="W262" i="5"/>
  <c r="Q262" i="5"/>
  <c r="W260" i="5"/>
  <c r="Q260" i="5"/>
  <c r="W254" i="5"/>
  <c r="Q254" i="5"/>
  <c r="W253" i="5"/>
  <c r="Q253" i="5"/>
  <c r="W252" i="5"/>
  <c r="Q252" i="5"/>
  <c r="W251" i="5"/>
  <c r="Q251" i="5"/>
  <c r="W250" i="5"/>
  <c r="Q250" i="5"/>
  <c r="W249" i="5"/>
  <c r="Q249" i="5"/>
  <c r="W248" i="5"/>
  <c r="Q248" i="5"/>
  <c r="W247" i="5"/>
  <c r="Q247" i="5"/>
  <c r="W245" i="5"/>
  <c r="Q245" i="5"/>
  <c r="W244" i="5"/>
  <c r="Q244" i="5"/>
  <c r="W240" i="5"/>
  <c r="Q240" i="5"/>
  <c r="W238" i="5"/>
  <c r="Q238" i="5"/>
  <c r="W237" i="5"/>
  <c r="Q237" i="5"/>
  <c r="W234" i="5"/>
  <c r="Q234" i="5"/>
  <c r="W233" i="5"/>
  <c r="Q233" i="5"/>
  <c r="W232" i="5"/>
  <c r="Q232" i="5"/>
  <c r="W231" i="5"/>
  <c r="Q231" i="5"/>
  <c r="W230" i="5"/>
  <c r="Q230" i="5"/>
  <c r="W229" i="5"/>
  <c r="Q229" i="5"/>
  <c r="W228" i="5"/>
  <c r="Q228" i="5"/>
  <c r="W227" i="5"/>
  <c r="Q227" i="5"/>
  <c r="W225" i="5"/>
  <c r="Q225" i="5"/>
  <c r="W224" i="5"/>
  <c r="Q224" i="5"/>
  <c r="W222" i="5"/>
  <c r="Q222" i="5"/>
  <c r="W221" i="5"/>
  <c r="Q221" i="5"/>
  <c r="W220" i="5"/>
  <c r="Q220" i="5"/>
  <c r="W219" i="5"/>
  <c r="Q219" i="5"/>
  <c r="W218" i="5"/>
  <c r="Q218" i="5"/>
  <c r="W217" i="5"/>
  <c r="Q217" i="5"/>
  <c r="W216" i="5"/>
  <c r="Q216" i="5"/>
  <c r="W215" i="5"/>
  <c r="Q215" i="5"/>
  <c r="W214" i="5"/>
  <c r="Q214" i="5"/>
  <c r="W212" i="5"/>
  <c r="Q212" i="5"/>
  <c r="W211" i="5"/>
  <c r="Q211" i="5"/>
  <c r="W210" i="5"/>
  <c r="Q210" i="5"/>
  <c r="W207" i="5"/>
  <c r="Q207" i="5"/>
  <c r="W205" i="5"/>
  <c r="Q205" i="5"/>
  <c r="W202" i="5"/>
  <c r="Q202" i="5"/>
  <c r="W199" i="5"/>
  <c r="Q199" i="5"/>
  <c r="W196" i="5"/>
  <c r="Q196" i="5"/>
  <c r="W192" i="5"/>
  <c r="Q192" i="5"/>
  <c r="W189" i="5"/>
  <c r="Q189" i="5"/>
  <c r="W188" i="5"/>
  <c r="Q188" i="5"/>
  <c r="W186" i="5"/>
  <c r="Q186" i="5"/>
  <c r="W185" i="5"/>
  <c r="Q185" i="5"/>
  <c r="W183" i="5"/>
  <c r="Q183" i="5"/>
  <c r="W182" i="5"/>
  <c r="Q182" i="5"/>
  <c r="W179" i="5"/>
  <c r="Q179" i="5"/>
  <c r="W178" i="5"/>
  <c r="Q178" i="5"/>
  <c r="W177" i="5"/>
  <c r="Q177" i="5"/>
  <c r="W176" i="5"/>
  <c r="Q176" i="5"/>
  <c r="W175" i="5"/>
  <c r="Q175" i="5"/>
  <c r="W174" i="5"/>
  <c r="Q174" i="5"/>
  <c r="W173" i="5"/>
  <c r="Q173" i="5"/>
  <c r="W172" i="5"/>
  <c r="Q172" i="5"/>
  <c r="W170" i="5"/>
  <c r="Q170" i="5"/>
  <c r="W168" i="5"/>
  <c r="Q168" i="5"/>
  <c r="W167" i="5"/>
  <c r="Q167" i="5"/>
  <c r="W166" i="5"/>
  <c r="Q166" i="5"/>
  <c r="W164" i="5"/>
  <c r="Q164" i="5"/>
  <c r="W163" i="5"/>
  <c r="Q163" i="5"/>
  <c r="W162" i="5"/>
  <c r="Q162" i="5"/>
  <c r="W159" i="5"/>
  <c r="Q159" i="5"/>
  <c r="W157" i="5"/>
  <c r="Q157" i="5"/>
  <c r="W155" i="5"/>
  <c r="Q155" i="5"/>
  <c r="W153" i="5"/>
  <c r="Q153" i="5"/>
  <c r="W151" i="5"/>
  <c r="Q151" i="5"/>
  <c r="W150" i="5"/>
  <c r="Q150" i="5"/>
  <c r="W149" i="5"/>
  <c r="Q149" i="5"/>
  <c r="W147" i="5"/>
  <c r="Q147" i="5"/>
  <c r="W135" i="5"/>
  <c r="W108" i="5"/>
  <c r="Q108" i="5"/>
  <c r="W107" i="5"/>
  <c r="Q107" i="5"/>
  <c r="W106" i="5"/>
  <c r="Q106" i="5"/>
  <c r="W101" i="5"/>
  <c r="Q101" i="5"/>
  <c r="W99" i="5"/>
  <c r="Q99" i="5"/>
  <c r="W96" i="5"/>
  <c r="Q96" i="5"/>
  <c r="W92" i="5"/>
  <c r="Q92" i="5"/>
  <c r="W89" i="5"/>
  <c r="Q89" i="5"/>
  <c r="W85" i="5"/>
  <c r="Q85" i="5"/>
  <c r="W78" i="5"/>
  <c r="Q78" i="5"/>
  <c r="W77" i="5"/>
  <c r="Q77" i="5"/>
  <c r="W76" i="5"/>
  <c r="Q76" i="5"/>
  <c r="W75" i="5"/>
  <c r="Q75" i="5"/>
  <c r="W74" i="5"/>
  <c r="Q74" i="5"/>
  <c r="W73" i="5"/>
  <c r="Q73" i="5"/>
  <c r="W72" i="5"/>
  <c r="Q72" i="5"/>
  <c r="W71" i="5"/>
  <c r="Q71" i="5"/>
  <c r="W70" i="5"/>
  <c r="Q70" i="5"/>
  <c r="W69" i="5"/>
  <c r="Q69" i="5"/>
  <c r="W68" i="5"/>
  <c r="Q68" i="5"/>
  <c r="W67" i="5"/>
  <c r="Q67" i="5"/>
  <c r="W66" i="5"/>
  <c r="Q66" i="5"/>
  <c r="W65" i="5"/>
  <c r="Q65" i="5"/>
  <c r="W64" i="5"/>
  <c r="Q64" i="5"/>
  <c r="W63" i="5"/>
  <c r="Q63" i="5"/>
  <c r="W60" i="5"/>
  <c r="Q60" i="5"/>
  <c r="Q59" i="5"/>
  <c r="Q56" i="5"/>
  <c r="Q55" i="5"/>
  <c r="Q54" i="5"/>
  <c r="Q53" i="5"/>
  <c r="Q52" i="5"/>
  <c r="Q51" i="5"/>
  <c r="Q50" i="5"/>
  <c r="Q49" i="5"/>
  <c r="W48" i="5"/>
  <c r="Q48" i="5"/>
  <c r="W47" i="5"/>
  <c r="Q47" i="5"/>
  <c r="W46" i="5"/>
  <c r="Q46" i="5"/>
  <c r="W45" i="5"/>
  <c r="Q45" i="5"/>
  <c r="W44" i="5"/>
  <c r="Q44" i="5"/>
  <c r="W43" i="5"/>
  <c r="Q43" i="5"/>
  <c r="W42" i="5"/>
  <c r="Q42" i="5"/>
  <c r="L109" i="5"/>
  <c r="B109" i="5"/>
  <c r="P36" i="5"/>
  <c r="Q395" i="5"/>
  <c r="L395" i="5"/>
  <c r="P397" i="5"/>
  <c r="P398" i="5"/>
  <c r="L398" i="5"/>
  <c r="L399" i="5"/>
  <c r="P400" i="5"/>
  <c r="L400" i="5"/>
  <c r="L401" i="5"/>
  <c r="P402" i="5"/>
  <c r="L402" i="5"/>
  <c r="L403" i="5"/>
  <c r="P24" i="5"/>
  <c r="P25" i="5"/>
  <c r="P28" i="5"/>
  <c r="W30" i="5"/>
  <c r="P31" i="5"/>
  <c r="P32" i="5"/>
  <c r="W33" i="5"/>
  <c r="W35" i="5"/>
  <c r="Q37" i="5"/>
  <c r="W38" i="5"/>
  <c r="Q39" i="5"/>
  <c r="P40" i="5"/>
  <c r="Q41" i="5"/>
  <c r="W24" i="5"/>
  <c r="Q130" i="5"/>
  <c r="W128" i="5"/>
  <c r="W125" i="5"/>
  <c r="Q114" i="5"/>
  <c r="Q113" i="5"/>
  <c r="O24" i="1"/>
  <c r="K24" i="1"/>
  <c r="O25" i="1"/>
  <c r="N25" i="1"/>
  <c r="K25" i="1"/>
  <c r="O27" i="1"/>
  <c r="N27" i="1"/>
  <c r="K27" i="1"/>
  <c r="N110" i="1"/>
  <c r="L181" i="5"/>
  <c r="P181" i="5"/>
  <c r="W180" i="5"/>
  <c r="G455" i="5"/>
  <c r="P186" i="5"/>
  <c r="M186" i="5"/>
  <c r="L186" i="5"/>
  <c r="M185" i="5"/>
  <c r="L185" i="5"/>
  <c r="J185" i="5"/>
  <c r="L183" i="5"/>
  <c r="L182" i="5"/>
  <c r="M179" i="5"/>
  <c r="L179" i="5"/>
  <c r="M178" i="5"/>
  <c r="M177" i="5"/>
  <c r="M176" i="5"/>
  <c r="M175" i="5"/>
  <c r="M174" i="5"/>
  <c r="M173" i="5"/>
  <c r="M172" i="5"/>
  <c r="P170" i="5"/>
  <c r="M170" i="5"/>
  <c r="L170" i="5"/>
  <c r="J30" i="5"/>
  <c r="P450" i="5"/>
  <c r="P449" i="5"/>
  <c r="P447" i="5"/>
  <c r="M447" i="5"/>
  <c r="L447" i="5"/>
  <c r="P441" i="5"/>
  <c r="M441" i="5"/>
  <c r="L441" i="5"/>
  <c r="P439" i="5"/>
  <c r="M439" i="5"/>
  <c r="L439" i="5"/>
  <c r="M438" i="5"/>
  <c r="L438" i="5"/>
  <c r="J438" i="5"/>
  <c r="M437" i="5"/>
  <c r="L437" i="5"/>
  <c r="J437" i="5"/>
  <c r="M436" i="5"/>
  <c r="L436" i="5"/>
  <c r="J436" i="5"/>
  <c r="M435" i="5"/>
  <c r="L435" i="5"/>
  <c r="J435" i="5"/>
  <c r="M434" i="5"/>
  <c r="L434" i="5"/>
  <c r="J434" i="5"/>
  <c r="M433" i="5"/>
  <c r="L433" i="5"/>
  <c r="J433" i="5"/>
  <c r="M432" i="5"/>
  <c r="L432" i="5"/>
  <c r="J432" i="5"/>
  <c r="M431" i="5"/>
  <c r="L431" i="5"/>
  <c r="J431" i="5"/>
  <c r="M430" i="5"/>
  <c r="L430" i="5"/>
  <c r="J430" i="5"/>
  <c r="M429" i="5"/>
  <c r="L429" i="5"/>
  <c r="J429" i="5"/>
  <c r="M426" i="5"/>
  <c r="L426" i="5"/>
  <c r="J426" i="5"/>
  <c r="M425" i="5"/>
  <c r="M424" i="5"/>
  <c r="M423" i="5"/>
  <c r="M422" i="5"/>
  <c r="M421" i="5"/>
  <c r="M420" i="5"/>
  <c r="P419" i="5"/>
  <c r="M419" i="5"/>
  <c r="L419" i="5"/>
  <c r="P417" i="5"/>
  <c r="M417" i="5"/>
  <c r="L417" i="5"/>
  <c r="P415" i="5"/>
  <c r="M415" i="5"/>
  <c r="L415" i="5"/>
  <c r="P413" i="5"/>
  <c r="M413" i="5"/>
  <c r="L413" i="5"/>
  <c r="M404" i="5"/>
  <c r="L404" i="5"/>
  <c r="J404" i="5"/>
  <c r="M393" i="5"/>
  <c r="L393" i="5"/>
  <c r="J393" i="5"/>
  <c r="M392" i="5"/>
  <c r="M391" i="5"/>
  <c r="M390" i="5"/>
  <c r="M389" i="5"/>
  <c r="M388" i="5"/>
  <c r="M387" i="5"/>
  <c r="M386" i="5"/>
  <c r="P385" i="5"/>
  <c r="M385" i="5"/>
  <c r="L385" i="5"/>
  <c r="P383" i="5"/>
  <c r="M383" i="5"/>
  <c r="L383" i="5"/>
  <c r="M382" i="5"/>
  <c r="L382" i="5"/>
  <c r="J382" i="5"/>
  <c r="M381" i="5"/>
  <c r="L381" i="5"/>
  <c r="J381" i="5"/>
  <c r="M380" i="5"/>
  <c r="L380" i="5"/>
  <c r="J380" i="5"/>
  <c r="M379" i="5"/>
  <c r="L379" i="5"/>
  <c r="J379" i="5"/>
  <c r="M378" i="5"/>
  <c r="L378" i="5"/>
  <c r="J378" i="5"/>
  <c r="M377" i="5"/>
  <c r="L377" i="5"/>
  <c r="J377" i="5"/>
  <c r="M376" i="5"/>
  <c r="L376" i="5"/>
  <c r="J376" i="5"/>
  <c r="P374" i="5"/>
  <c r="M374" i="5"/>
  <c r="L374" i="5"/>
  <c r="P372" i="5"/>
  <c r="M372" i="5"/>
  <c r="L372" i="5"/>
  <c r="M370" i="5"/>
  <c r="L370" i="5"/>
  <c r="J370" i="5"/>
  <c r="M369" i="5"/>
  <c r="L369" i="5"/>
  <c r="J369" i="5"/>
  <c r="M368" i="5"/>
  <c r="L368" i="5"/>
  <c r="J368" i="5"/>
  <c r="P367" i="5"/>
  <c r="M367" i="5"/>
  <c r="L367" i="5"/>
  <c r="P365" i="5"/>
  <c r="L365" i="5"/>
  <c r="L346" i="5"/>
  <c r="J346" i="5"/>
  <c r="L345" i="5"/>
  <c r="J345" i="5"/>
  <c r="L344" i="5"/>
  <c r="J344" i="5"/>
  <c r="M338" i="5"/>
  <c r="P337" i="5"/>
  <c r="M337" i="5"/>
  <c r="L337" i="5"/>
  <c r="P335" i="5"/>
  <c r="M335" i="5"/>
  <c r="L335" i="5"/>
  <c r="M334" i="5"/>
  <c r="L334" i="5"/>
  <c r="J334" i="5"/>
  <c r="P331" i="5"/>
  <c r="M331" i="5"/>
  <c r="L331" i="5"/>
  <c r="P329" i="5"/>
  <c r="M329" i="5"/>
  <c r="L329" i="5"/>
  <c r="M328" i="5"/>
  <c r="L328" i="5"/>
  <c r="J328" i="5"/>
  <c r="P321" i="5"/>
  <c r="M321" i="5"/>
  <c r="L321" i="5"/>
  <c r="P319" i="5"/>
  <c r="M319" i="5"/>
  <c r="L319" i="5"/>
  <c r="M297" i="5"/>
  <c r="M294" i="5"/>
  <c r="M293" i="5"/>
  <c r="M290" i="5"/>
  <c r="M285" i="5"/>
  <c r="M284" i="5"/>
  <c r="M281" i="5"/>
  <c r="P280" i="5"/>
  <c r="M280" i="5"/>
  <c r="L280" i="5"/>
  <c r="P278" i="5"/>
  <c r="M278" i="5"/>
  <c r="L278" i="5"/>
  <c r="M277" i="5"/>
  <c r="L277" i="5"/>
  <c r="J277" i="5"/>
  <c r="M276" i="5"/>
  <c r="L276" i="5"/>
  <c r="J276" i="5"/>
  <c r="M275" i="5"/>
  <c r="L275" i="5"/>
  <c r="J275" i="5"/>
  <c r="M274" i="5"/>
  <c r="L274" i="5"/>
  <c r="J274" i="5"/>
  <c r="M273" i="5"/>
  <c r="L273" i="5"/>
  <c r="J273" i="5"/>
  <c r="M272" i="5"/>
  <c r="L272" i="5"/>
  <c r="J272" i="5"/>
  <c r="L271" i="5"/>
  <c r="P262" i="5"/>
  <c r="M262" i="5"/>
  <c r="L262" i="5"/>
  <c r="P260" i="5"/>
  <c r="M260" i="5"/>
  <c r="L260" i="5"/>
  <c r="M254" i="5"/>
  <c r="L254" i="5"/>
  <c r="J254" i="5"/>
  <c r="M253" i="5"/>
  <c r="M252" i="5"/>
  <c r="M251" i="5"/>
  <c r="M250" i="5"/>
  <c r="M249" i="5"/>
  <c r="M248" i="5"/>
  <c r="P247" i="5"/>
  <c r="M247" i="5"/>
  <c r="L247" i="5"/>
  <c r="P245" i="5"/>
  <c r="M245" i="5"/>
  <c r="L245" i="5"/>
  <c r="M244" i="5"/>
  <c r="L244" i="5"/>
  <c r="J244" i="5"/>
  <c r="P240" i="5"/>
  <c r="M240" i="5"/>
  <c r="L240" i="5"/>
  <c r="P238" i="5"/>
  <c r="M238" i="5"/>
  <c r="L238" i="5"/>
  <c r="M237" i="5"/>
  <c r="L237" i="5"/>
  <c r="J237" i="5"/>
  <c r="M234" i="5"/>
  <c r="L234" i="5"/>
  <c r="J234" i="5"/>
  <c r="M233" i="5"/>
  <c r="M232" i="5"/>
  <c r="M231" i="5"/>
  <c r="M230" i="5"/>
  <c r="M229" i="5"/>
  <c r="M228" i="5"/>
  <c r="L228" i="5"/>
  <c r="J228" i="5"/>
  <c r="P227" i="5"/>
  <c r="M227" i="5"/>
  <c r="L227" i="5"/>
  <c r="P225" i="5"/>
  <c r="M225" i="5"/>
  <c r="L225" i="5"/>
  <c r="M224" i="5"/>
  <c r="L224" i="5"/>
  <c r="J224" i="5"/>
  <c r="M222" i="5"/>
  <c r="L222" i="5"/>
  <c r="J222" i="5"/>
  <c r="M221" i="5"/>
  <c r="M220" i="5"/>
  <c r="M219" i="5"/>
  <c r="M218" i="5"/>
  <c r="M217" i="5"/>
  <c r="M216" i="5"/>
  <c r="M215" i="5"/>
  <c r="P214" i="5"/>
  <c r="M214" i="5"/>
  <c r="L214" i="5"/>
  <c r="P212" i="5"/>
  <c r="M212" i="5"/>
  <c r="L212" i="5"/>
  <c r="M211" i="5"/>
  <c r="L211" i="5"/>
  <c r="J211" i="5"/>
  <c r="L210" i="5"/>
  <c r="M207" i="5"/>
  <c r="L207" i="5"/>
  <c r="J207" i="5"/>
  <c r="M205" i="5"/>
  <c r="M202" i="5"/>
  <c r="M199" i="5"/>
  <c r="M196" i="5"/>
  <c r="M192" i="5"/>
  <c r="M189" i="5"/>
  <c r="P188" i="5"/>
  <c r="M188" i="5"/>
  <c r="L188" i="5"/>
  <c r="P168" i="5"/>
  <c r="M168" i="5"/>
  <c r="L168" i="5"/>
  <c r="M167" i="5"/>
  <c r="L167" i="5"/>
  <c r="J167" i="5"/>
  <c r="L166" i="5"/>
  <c r="M164" i="5"/>
  <c r="L164" i="5"/>
  <c r="M163" i="5"/>
  <c r="L163" i="5"/>
  <c r="M162" i="5"/>
  <c r="M159" i="5"/>
  <c r="M157" i="5"/>
  <c r="M155" i="5"/>
  <c r="M153" i="5"/>
  <c r="M151" i="5"/>
  <c r="M150" i="5"/>
  <c r="P149" i="5"/>
  <c r="M149" i="5"/>
  <c r="L149" i="5"/>
  <c r="P147" i="5"/>
  <c r="M147" i="5"/>
  <c r="L147" i="5"/>
  <c r="M108" i="5"/>
  <c r="L108" i="5"/>
  <c r="J108" i="5"/>
  <c r="M107" i="5"/>
  <c r="L107" i="5"/>
  <c r="J107" i="5"/>
  <c r="M106" i="5"/>
  <c r="M101" i="5"/>
  <c r="M99" i="5"/>
  <c r="M96" i="5"/>
  <c r="M92" i="5"/>
  <c r="M89" i="5"/>
  <c r="M85" i="5"/>
  <c r="J77" i="5"/>
  <c r="J76" i="5"/>
  <c r="J75" i="5"/>
  <c r="J74" i="5"/>
  <c r="J73" i="5"/>
  <c r="J72" i="5"/>
  <c r="J71" i="5"/>
  <c r="J70" i="5"/>
  <c r="J69" i="5"/>
  <c r="J68" i="5"/>
  <c r="J67" i="5"/>
  <c r="J66" i="5"/>
  <c r="J65" i="5"/>
  <c r="J64" i="5"/>
  <c r="J63" i="5"/>
  <c r="P443" i="5"/>
  <c r="Q444" i="5"/>
  <c r="L444" i="5"/>
  <c r="L442" i="5"/>
  <c r="P442" i="5"/>
  <c r="L428" i="5"/>
  <c r="P351" i="5"/>
  <c r="L371" i="5"/>
  <c r="L307" i="5"/>
  <c r="L235" i="5"/>
  <c r="P235" i="5"/>
  <c r="L131" i="5"/>
  <c r="Q143" i="1"/>
  <c r="Q308" i="5"/>
  <c r="W303" i="5"/>
  <c r="J310" i="5"/>
  <c r="J128" i="5"/>
  <c r="G373" i="5"/>
  <c r="O81" i="8"/>
  <c r="Q11" i="8" s="1"/>
  <c r="J48" i="1"/>
  <c r="M48" i="1"/>
  <c r="J400" i="5"/>
  <c r="L427" i="5"/>
  <c r="P266" i="5"/>
  <c r="L266" i="5"/>
  <c r="W267" i="5"/>
  <c r="L267" i="5"/>
  <c r="J82" i="1"/>
  <c r="M82" i="1"/>
  <c r="A104" i="1"/>
  <c r="N102" i="1"/>
  <c r="K102" i="1"/>
  <c r="I104" i="1"/>
  <c r="K23" i="1"/>
  <c r="O23" i="1"/>
  <c r="N23" i="1"/>
  <c r="I11" i="5"/>
  <c r="AB242" i="5" s="1"/>
  <c r="AF242" i="5" s="1"/>
  <c r="AJ242" i="5" s="1"/>
  <c r="AN242" i="5" s="1"/>
  <c r="H11" i="5"/>
  <c r="AA242" i="5" s="1"/>
  <c r="J144" i="1"/>
  <c r="M144" i="1"/>
  <c r="J154" i="1"/>
  <c r="M154" i="1"/>
  <c r="J99" i="1"/>
  <c r="M99" i="1"/>
  <c r="P348" i="5"/>
  <c r="L348" i="5"/>
  <c r="L349" i="5"/>
  <c r="L350" i="5"/>
  <c r="L223" i="5"/>
  <c r="Q223" i="5"/>
  <c r="J110" i="5"/>
  <c r="J114" i="5"/>
  <c r="J306" i="5"/>
  <c r="J34" i="5"/>
  <c r="J428" i="5"/>
  <c r="O77" i="1"/>
  <c r="H161" i="5" s="1"/>
  <c r="N77" i="1"/>
  <c r="K77" i="1"/>
  <c r="O19" i="1"/>
  <c r="N19" i="1"/>
  <c r="K19" i="1"/>
  <c r="W394" i="5"/>
  <c r="L394" i="5"/>
  <c r="L299" i="5"/>
  <c r="W299" i="5"/>
  <c r="P236" i="5"/>
  <c r="L208" i="5"/>
  <c r="P208" i="5"/>
  <c r="O63" i="8"/>
  <c r="O64" i="8"/>
  <c r="P110" i="5"/>
  <c r="L165" i="5"/>
  <c r="Q165" i="5"/>
  <c r="L416" i="5"/>
  <c r="P416" i="5"/>
  <c r="Q333" i="5"/>
  <c r="L333" i="5"/>
  <c r="L332" i="5"/>
  <c r="W332" i="5"/>
  <c r="P327" i="5"/>
  <c r="L327" i="5"/>
  <c r="L326" i="5"/>
  <c r="W326" i="5"/>
  <c r="L263" i="5"/>
  <c r="Q263" i="5"/>
  <c r="L259" i="5"/>
  <c r="P259" i="5"/>
  <c r="P261" i="5" s="1"/>
  <c r="L243" i="5"/>
  <c r="W243" i="5"/>
  <c r="W246" i="5" s="1"/>
  <c r="L236" i="5"/>
  <c r="K138" i="1"/>
  <c r="N138" i="1"/>
  <c r="N137" i="1"/>
  <c r="K137" i="1"/>
  <c r="G145" i="6"/>
  <c r="K145" i="6"/>
  <c r="G61" i="8"/>
  <c r="J416" i="5"/>
  <c r="B1" i="6"/>
  <c r="B1" i="1"/>
  <c r="O98" i="1"/>
  <c r="N98" i="1"/>
  <c r="K98" i="1"/>
  <c r="A88" i="1"/>
  <c r="A89" i="1" s="1"/>
  <c r="O78" i="1"/>
  <c r="N78" i="1"/>
  <c r="K78" i="1"/>
  <c r="I50" i="1"/>
  <c r="A46" i="1"/>
  <c r="A45" i="1"/>
  <c r="W23" i="5"/>
  <c r="I6" i="1"/>
  <c r="I7" i="1" s="1"/>
  <c r="I8" i="1" s="1"/>
  <c r="I9" i="1" s="1"/>
  <c r="I10" i="1" s="1"/>
  <c r="A51" i="1"/>
  <c r="A81" i="1"/>
  <c r="A75" i="1"/>
  <c r="A65" i="1"/>
  <c r="A60" i="1"/>
  <c r="Q23" i="5"/>
  <c r="A82" i="1"/>
  <c r="A83" i="1" s="1"/>
  <c r="A90" i="1"/>
  <c r="K15" i="1"/>
  <c r="N15" i="1"/>
  <c r="O15" i="1"/>
  <c r="N34" i="1"/>
  <c r="K109" i="1"/>
  <c r="O109" i="1"/>
  <c r="H297" i="5" s="1"/>
  <c r="K34" i="1"/>
  <c r="N50" i="1"/>
  <c r="K50" i="1"/>
  <c r="O50" i="1"/>
  <c r="N18" i="1"/>
  <c r="K18" i="1"/>
  <c r="O18" i="1"/>
  <c r="N20" i="1"/>
  <c r="K20" i="1"/>
  <c r="O20" i="1"/>
  <c r="N28" i="1"/>
  <c r="K28" i="1"/>
  <c r="O28" i="1"/>
  <c r="AB102" i="5"/>
  <c r="AB96" i="5"/>
  <c r="K17" i="1"/>
  <c r="O17" i="1"/>
  <c r="N17" i="1"/>
  <c r="K81" i="1"/>
  <c r="O47" i="1"/>
  <c r="I47" i="1"/>
  <c r="O55" i="1"/>
  <c r="I55" i="1"/>
  <c r="H92" i="5" s="1"/>
  <c r="K56" i="1"/>
  <c r="I56" i="1"/>
  <c r="K46" i="1"/>
  <c r="I46" i="1"/>
  <c r="O45" i="1"/>
  <c r="I45" i="1"/>
  <c r="N81" i="1"/>
  <c r="N47" i="1"/>
  <c r="K47" i="1"/>
  <c r="O81" i="1"/>
  <c r="I161" i="5" s="1"/>
  <c r="K45" i="1"/>
  <c r="O56" i="1"/>
  <c r="N45" i="1"/>
  <c r="K55" i="1"/>
  <c r="N55" i="1"/>
  <c r="O46" i="1"/>
  <c r="O34" i="1"/>
  <c r="N56" i="1"/>
  <c r="N46" i="1"/>
  <c r="Q42" i="8" l="1"/>
  <c r="O42" i="8" s="1"/>
  <c r="H460" i="5"/>
  <c r="I92" i="5"/>
  <c r="S109" i="6"/>
  <c r="I357" i="5" s="1"/>
  <c r="Z242" i="5"/>
  <c r="AE242" i="5"/>
  <c r="AA258" i="5"/>
  <c r="AE258" i="5" s="1"/>
  <c r="AA58" i="5"/>
  <c r="AB258" i="5"/>
  <c r="AF258" i="5" s="1"/>
  <c r="AJ258" i="5" s="1"/>
  <c r="AN258" i="5" s="1"/>
  <c r="AB58" i="5"/>
  <c r="AF58" i="5" s="1"/>
  <c r="AJ58" i="5" s="1"/>
  <c r="AN58" i="5" s="1"/>
  <c r="Q21" i="6"/>
  <c r="G118" i="5" s="1"/>
  <c r="Q44" i="8"/>
  <c r="I52" i="5" s="1"/>
  <c r="Q43" i="8"/>
  <c r="I51" i="5" s="1"/>
  <c r="Q46" i="8"/>
  <c r="I54" i="5" s="1"/>
  <c r="P34" i="1"/>
  <c r="P78" i="1"/>
  <c r="P98" i="1"/>
  <c r="Q98" i="1" s="1"/>
  <c r="P112" i="1"/>
  <c r="P55" i="1"/>
  <c r="Q55" i="1" s="1"/>
  <c r="P56" i="1"/>
  <c r="P81" i="1"/>
  <c r="Q81" i="1" s="1"/>
  <c r="P110" i="1"/>
  <c r="Q110" i="1" s="1"/>
  <c r="M166" i="1"/>
  <c r="J166" i="1"/>
  <c r="I249" i="5"/>
  <c r="H249" i="5"/>
  <c r="I159" i="5"/>
  <c r="AA282" i="5"/>
  <c r="AA257" i="5"/>
  <c r="AB282" i="5"/>
  <c r="AF282" i="5" s="1"/>
  <c r="AJ282" i="5" s="1"/>
  <c r="AN282" i="5" s="1"/>
  <c r="AB257" i="5"/>
  <c r="AF257" i="5" s="1"/>
  <c r="AJ257" i="5" s="1"/>
  <c r="AN257" i="5" s="1"/>
  <c r="H155" i="5"/>
  <c r="H159" i="5"/>
  <c r="P74" i="8"/>
  <c r="S107" i="6"/>
  <c r="AA150" i="5"/>
  <c r="AA156" i="5" s="1"/>
  <c r="T296" i="5"/>
  <c r="AB103" i="5"/>
  <c r="AF103" i="5" s="1"/>
  <c r="AJ103" i="5" s="1"/>
  <c r="AN103" i="5" s="1"/>
  <c r="H288" i="5"/>
  <c r="J216" i="5"/>
  <c r="J215" i="5"/>
  <c r="O10" i="6"/>
  <c r="I195" i="5"/>
  <c r="AA88" i="5"/>
  <c r="G88" i="5"/>
  <c r="AA209" i="5"/>
  <c r="AE209" i="5" s="1"/>
  <c r="AB209" i="5"/>
  <c r="AF209" i="5" s="1"/>
  <c r="AJ209" i="5" s="1"/>
  <c r="AN209" i="5" s="1"/>
  <c r="AB88" i="5"/>
  <c r="AF88" i="5" s="1"/>
  <c r="AJ88" i="5" s="1"/>
  <c r="AN88" i="5" s="1"/>
  <c r="AA283" i="5"/>
  <c r="AA134" i="5"/>
  <c r="AB283" i="5"/>
  <c r="AF283" i="5" s="1"/>
  <c r="AJ283" i="5" s="1"/>
  <c r="AN283" i="5" s="1"/>
  <c r="AB134" i="5"/>
  <c r="AF134" i="5" s="1"/>
  <c r="AJ134" i="5" s="1"/>
  <c r="AN134" i="5" s="1"/>
  <c r="U109" i="5"/>
  <c r="T109" i="5"/>
  <c r="T148" i="5" s="1"/>
  <c r="AA103" i="5"/>
  <c r="S196" i="5"/>
  <c r="O118" i="1"/>
  <c r="I48" i="1"/>
  <c r="O165" i="1"/>
  <c r="AB85" i="5"/>
  <c r="AF85" i="5" s="1"/>
  <c r="AJ85" i="5" s="1"/>
  <c r="AN85" i="5" s="1"/>
  <c r="AB89" i="5"/>
  <c r="AF89" i="5" s="1"/>
  <c r="AJ89" i="5" s="1"/>
  <c r="AN89" i="5" s="1"/>
  <c r="J28" i="5"/>
  <c r="AA420" i="5"/>
  <c r="AA89" i="5"/>
  <c r="AA85" i="5"/>
  <c r="AF102" i="5"/>
  <c r="AF96" i="5"/>
  <c r="O9" i="8"/>
  <c r="Q10" i="6"/>
  <c r="AC468" i="5"/>
  <c r="AA216" i="5"/>
  <c r="AA215" i="5"/>
  <c r="AA284" i="5"/>
  <c r="AA355" i="5"/>
  <c r="AA255" i="5"/>
  <c r="AA256" i="5"/>
  <c r="AA241" i="5"/>
  <c r="AA281" i="5"/>
  <c r="AA386" i="5"/>
  <c r="AB216" i="5"/>
  <c r="AF216" i="5" s="1"/>
  <c r="AJ216" i="5" s="1"/>
  <c r="AN216" i="5" s="1"/>
  <c r="AB215" i="5"/>
  <c r="AB284" i="5"/>
  <c r="AF284" i="5" s="1"/>
  <c r="AJ284" i="5" s="1"/>
  <c r="AN284" i="5" s="1"/>
  <c r="AB256" i="5"/>
  <c r="AF256" i="5" s="1"/>
  <c r="AJ256" i="5" s="1"/>
  <c r="AN256" i="5" s="1"/>
  <c r="AB255" i="5"/>
  <c r="AF255" i="5" s="1"/>
  <c r="AJ255" i="5" s="1"/>
  <c r="AN255" i="5" s="1"/>
  <c r="AB241" i="5"/>
  <c r="AB281" i="5"/>
  <c r="AB386" i="5"/>
  <c r="AB420" i="5"/>
  <c r="AH343" i="5"/>
  <c r="AN343" i="5"/>
  <c r="AL343" i="5" s="1"/>
  <c r="AA120" i="5"/>
  <c r="AA136" i="5"/>
  <c r="AA131" i="5"/>
  <c r="AA127" i="5"/>
  <c r="AA137" i="5"/>
  <c r="AA130" i="5"/>
  <c r="AA125" i="5"/>
  <c r="AA121" i="5"/>
  <c r="AA116" i="5"/>
  <c r="AA112" i="5"/>
  <c r="AA126" i="5"/>
  <c r="AA113" i="5"/>
  <c r="AA135" i="5"/>
  <c r="AA129" i="5"/>
  <c r="AA124" i="5"/>
  <c r="AA115" i="5"/>
  <c r="AA111" i="5"/>
  <c r="AA133" i="5"/>
  <c r="AA128" i="5"/>
  <c r="AA123" i="5"/>
  <c r="AA132" i="5"/>
  <c r="AA52" i="5"/>
  <c r="AA467" i="5" s="1"/>
  <c r="AA36" i="5"/>
  <c r="AA54" i="5"/>
  <c r="AA53" i="5"/>
  <c r="AA32" i="5"/>
  <c r="AA46" i="5"/>
  <c r="AA35" i="5"/>
  <c r="AA30" i="5"/>
  <c r="AA24" i="5"/>
  <c r="AA55" i="5"/>
  <c r="AA33" i="5"/>
  <c r="AA29" i="5"/>
  <c r="AA22" i="5"/>
  <c r="AA49" i="5"/>
  <c r="AA28" i="5"/>
  <c r="AA56" i="5"/>
  <c r="AA184" i="5"/>
  <c r="AA166" i="5"/>
  <c r="AA183" i="5"/>
  <c r="AA181" i="5"/>
  <c r="AA182" i="5"/>
  <c r="AB128" i="5"/>
  <c r="AF128" i="5" s="1"/>
  <c r="AJ128" i="5" s="1"/>
  <c r="AN128" i="5" s="1"/>
  <c r="AB126" i="5"/>
  <c r="AF126" i="5" s="1"/>
  <c r="AJ126" i="5" s="1"/>
  <c r="AN126" i="5" s="1"/>
  <c r="AB115" i="5"/>
  <c r="AF115" i="5" s="1"/>
  <c r="AJ115" i="5" s="1"/>
  <c r="AN115" i="5" s="1"/>
  <c r="AB132" i="5"/>
  <c r="AF132" i="5" s="1"/>
  <c r="AJ132" i="5" s="1"/>
  <c r="AN132" i="5" s="1"/>
  <c r="AB113" i="5"/>
  <c r="AF113" i="5" s="1"/>
  <c r="AJ113" i="5" s="1"/>
  <c r="AN113" i="5" s="1"/>
  <c r="AB121" i="5"/>
  <c r="AF121" i="5" s="1"/>
  <c r="AJ121" i="5" s="1"/>
  <c r="AN121" i="5" s="1"/>
  <c r="AB137" i="5"/>
  <c r="AF137" i="5" s="1"/>
  <c r="AJ137" i="5" s="1"/>
  <c r="AN137" i="5" s="1"/>
  <c r="AB111" i="5"/>
  <c r="AF111" i="5" s="1"/>
  <c r="AJ111" i="5" s="1"/>
  <c r="AN111" i="5" s="1"/>
  <c r="AB130" i="5"/>
  <c r="AF130" i="5" s="1"/>
  <c r="AJ130" i="5" s="1"/>
  <c r="AN130" i="5" s="1"/>
  <c r="AB127" i="5"/>
  <c r="AF127" i="5" s="1"/>
  <c r="AJ127" i="5" s="1"/>
  <c r="AN127" i="5" s="1"/>
  <c r="AB120" i="5"/>
  <c r="AF120" i="5" s="1"/>
  <c r="AJ120" i="5" s="1"/>
  <c r="AN120" i="5" s="1"/>
  <c r="AB129" i="5"/>
  <c r="AF129" i="5" s="1"/>
  <c r="AJ129" i="5" s="1"/>
  <c r="AN129" i="5" s="1"/>
  <c r="AB125" i="5"/>
  <c r="AF125" i="5" s="1"/>
  <c r="AJ125" i="5" s="1"/>
  <c r="AN125" i="5" s="1"/>
  <c r="AB116" i="5"/>
  <c r="AF116" i="5" s="1"/>
  <c r="AJ116" i="5" s="1"/>
  <c r="AN116" i="5" s="1"/>
  <c r="AB136" i="5"/>
  <c r="AF136" i="5" s="1"/>
  <c r="AJ136" i="5" s="1"/>
  <c r="AN136" i="5" s="1"/>
  <c r="AB123" i="5"/>
  <c r="AF123" i="5" s="1"/>
  <c r="AJ123" i="5" s="1"/>
  <c r="AN123" i="5" s="1"/>
  <c r="AB124" i="5"/>
  <c r="AF124" i="5" s="1"/>
  <c r="AJ124" i="5" s="1"/>
  <c r="AN124" i="5" s="1"/>
  <c r="AB112" i="5"/>
  <c r="AF112" i="5" s="1"/>
  <c r="AJ112" i="5" s="1"/>
  <c r="AN112" i="5" s="1"/>
  <c r="AB133" i="5"/>
  <c r="AF133" i="5" s="1"/>
  <c r="AJ133" i="5" s="1"/>
  <c r="AN133" i="5" s="1"/>
  <c r="AB131" i="5"/>
  <c r="AF131" i="5" s="1"/>
  <c r="AJ131" i="5" s="1"/>
  <c r="AN131" i="5" s="1"/>
  <c r="AB135" i="5"/>
  <c r="AF135" i="5" s="1"/>
  <c r="AJ135" i="5" s="1"/>
  <c r="AN135" i="5" s="1"/>
  <c r="AB33" i="5"/>
  <c r="AF33" i="5" s="1"/>
  <c r="AJ33" i="5" s="1"/>
  <c r="AN33" i="5" s="1"/>
  <c r="AB29" i="5"/>
  <c r="AF29" i="5" s="1"/>
  <c r="AJ29" i="5" s="1"/>
  <c r="AN29" i="5" s="1"/>
  <c r="AB22" i="5"/>
  <c r="AF22" i="5" s="1"/>
  <c r="AJ22" i="5" s="1"/>
  <c r="AB46" i="5"/>
  <c r="AF46" i="5" s="1"/>
  <c r="AJ46" i="5" s="1"/>
  <c r="AB32" i="5"/>
  <c r="AF32" i="5" s="1"/>
  <c r="AJ32" i="5" s="1"/>
  <c r="AN32" i="5" s="1"/>
  <c r="AB28" i="5"/>
  <c r="AF28" i="5" s="1"/>
  <c r="AB35" i="5"/>
  <c r="AF35" i="5" s="1"/>
  <c r="AJ35" i="5" s="1"/>
  <c r="AN35" i="5" s="1"/>
  <c r="AB36" i="5"/>
  <c r="AF36" i="5" s="1"/>
  <c r="AJ36" i="5" s="1"/>
  <c r="AN36" i="5" s="1"/>
  <c r="AB30" i="5"/>
  <c r="AF30" i="5" s="1"/>
  <c r="AB24" i="5"/>
  <c r="AF24" i="5" s="1"/>
  <c r="AJ24" i="5" s="1"/>
  <c r="AB184" i="5"/>
  <c r="AF184" i="5" s="1"/>
  <c r="AJ184" i="5" s="1"/>
  <c r="AN184" i="5" s="1"/>
  <c r="AB182" i="5"/>
  <c r="AF182" i="5" s="1"/>
  <c r="AJ182" i="5" s="1"/>
  <c r="AN182" i="5" s="1"/>
  <c r="AB183" i="5"/>
  <c r="AF183" i="5" s="1"/>
  <c r="AJ183" i="5" s="1"/>
  <c r="AN183" i="5" s="1"/>
  <c r="AB166" i="5"/>
  <c r="AF166" i="5" s="1"/>
  <c r="AJ166" i="5" s="1"/>
  <c r="AN166" i="5" s="1"/>
  <c r="AB181" i="5"/>
  <c r="AF181" i="5" s="1"/>
  <c r="AJ181" i="5" s="1"/>
  <c r="AN181" i="5" s="1"/>
  <c r="S96" i="5"/>
  <c r="S106" i="5"/>
  <c r="S102" i="5"/>
  <c r="V109" i="5"/>
  <c r="V148" i="5" s="1"/>
  <c r="S109" i="5"/>
  <c r="O11" i="8"/>
  <c r="G249" i="5"/>
  <c r="L249" i="5" s="1"/>
  <c r="H388" i="5"/>
  <c r="H389" i="5"/>
  <c r="L246" i="5"/>
  <c r="L330" i="5"/>
  <c r="P77" i="8"/>
  <c r="M9" i="8"/>
  <c r="I342" i="5"/>
  <c r="AB342" i="5" s="1"/>
  <c r="I339" i="5"/>
  <c r="I340" i="5"/>
  <c r="G223" i="5"/>
  <c r="G347" i="5"/>
  <c r="Q109" i="5"/>
  <c r="X413" i="5"/>
  <c r="X334" i="5"/>
  <c r="X433" i="5"/>
  <c r="P418" i="5"/>
  <c r="L373" i="5"/>
  <c r="X329" i="5"/>
  <c r="Q34" i="1"/>
  <c r="P28" i="1"/>
  <c r="Q28" i="1" s="1"/>
  <c r="P27" i="1"/>
  <c r="Q27" i="1" s="1"/>
  <c r="P17" i="1"/>
  <c r="Q17" i="1" s="1"/>
  <c r="P19" i="1"/>
  <c r="Q19" i="1" s="1"/>
  <c r="P23" i="1"/>
  <c r="Q23" i="1" s="1"/>
  <c r="P25" i="1"/>
  <c r="Q25" i="1" s="1"/>
  <c r="P20" i="1"/>
  <c r="Q20" i="1" s="1"/>
  <c r="P18" i="1"/>
  <c r="Q18" i="1" s="1"/>
  <c r="P15" i="1"/>
  <c r="P24" i="1"/>
  <c r="Q24" i="1" s="1"/>
  <c r="Q39" i="1"/>
  <c r="P41" i="1"/>
  <c r="Q41" i="1" s="1"/>
  <c r="Q44" i="1"/>
  <c r="P109" i="5"/>
  <c r="R109" i="5"/>
  <c r="X426" i="5"/>
  <c r="X430" i="5"/>
  <c r="X438" i="5"/>
  <c r="X450" i="5"/>
  <c r="X245" i="5"/>
  <c r="X432" i="5"/>
  <c r="X436" i="5"/>
  <c r="X441" i="5"/>
  <c r="X367" i="5"/>
  <c r="X369" i="5"/>
  <c r="X372" i="5"/>
  <c r="X376" i="5"/>
  <c r="X378" i="5"/>
  <c r="X380" i="5"/>
  <c r="X385" i="5"/>
  <c r="X387" i="5"/>
  <c r="X393" i="5"/>
  <c r="X175" i="5"/>
  <c r="X179" i="5"/>
  <c r="X183" i="5"/>
  <c r="X186" i="5"/>
  <c r="X218" i="5"/>
  <c r="X272" i="5"/>
  <c r="X276" i="5"/>
  <c r="X321" i="5"/>
  <c r="X345" i="5"/>
  <c r="X377" i="5"/>
  <c r="X381" i="5"/>
  <c r="X383" i="5"/>
  <c r="X419" i="5"/>
  <c r="X421" i="5"/>
  <c r="X425" i="5"/>
  <c r="X437" i="5"/>
  <c r="X447" i="5"/>
  <c r="X240" i="5"/>
  <c r="X335" i="5"/>
  <c r="X382" i="5"/>
  <c r="X417" i="5"/>
  <c r="X420" i="5"/>
  <c r="X422" i="5"/>
  <c r="X424" i="5"/>
  <c r="X434" i="5"/>
  <c r="L375" i="5"/>
  <c r="L384" i="5" s="1"/>
  <c r="L356" i="5"/>
  <c r="Q375" i="5"/>
  <c r="Q384" i="5" s="1"/>
  <c r="P356" i="5"/>
  <c r="X337" i="5"/>
  <c r="X344" i="5"/>
  <c r="J373" i="5"/>
  <c r="J374" i="5" s="1"/>
  <c r="L353" i="5"/>
  <c r="X64" i="5"/>
  <c r="X72" i="5"/>
  <c r="X346" i="5"/>
  <c r="X217" i="5"/>
  <c r="X319" i="5"/>
  <c r="X74" i="5"/>
  <c r="L418" i="5"/>
  <c r="X149" i="5"/>
  <c r="X151" i="5"/>
  <c r="X163" i="5"/>
  <c r="X168" i="5"/>
  <c r="X182" i="5"/>
  <c r="X185" i="5"/>
  <c r="X215" i="5"/>
  <c r="X219" i="5"/>
  <c r="X221" i="5"/>
  <c r="X227" i="5"/>
  <c r="X229" i="5"/>
  <c r="X237" i="5"/>
  <c r="X262" i="5"/>
  <c r="X60" i="5"/>
  <c r="X78" i="5"/>
  <c r="X45" i="5"/>
  <c r="X65" i="5"/>
  <c r="X69" i="5"/>
  <c r="X73" i="5"/>
  <c r="X77" i="5"/>
  <c r="X214" i="5"/>
  <c r="X222" i="5"/>
  <c r="X278" i="5"/>
  <c r="X260" i="5"/>
  <c r="X172" i="5"/>
  <c r="X174" i="5"/>
  <c r="X176" i="5"/>
  <c r="X178" i="5"/>
  <c r="X188" i="5"/>
  <c r="X210" i="5"/>
  <c r="X224" i="5"/>
  <c r="X275" i="5"/>
  <c r="X274" i="5"/>
  <c r="X166" i="5"/>
  <c r="Q309" i="5"/>
  <c r="Q326" i="5"/>
  <c r="X48" i="5"/>
  <c r="X66" i="5"/>
  <c r="X68" i="5"/>
  <c r="X70" i="5"/>
  <c r="X76" i="5"/>
  <c r="X107" i="5"/>
  <c r="W223" i="5"/>
  <c r="W226" i="5" s="1"/>
  <c r="Q266" i="5"/>
  <c r="W235" i="5"/>
  <c r="W442" i="5"/>
  <c r="Q259" i="5"/>
  <c r="Q261" i="5" s="1"/>
  <c r="W375" i="5"/>
  <c r="W384" i="5" s="1"/>
  <c r="P268" i="5"/>
  <c r="P304" i="5"/>
  <c r="P263" i="5"/>
  <c r="P375" i="5"/>
  <c r="P384" i="5" s="1"/>
  <c r="Q371" i="5"/>
  <c r="Q373" i="5" s="1"/>
  <c r="P180" i="5"/>
  <c r="P187" i="5" s="1"/>
  <c r="Q235" i="5"/>
  <c r="X147" i="5"/>
  <c r="X44" i="5"/>
  <c r="X46" i="5"/>
  <c r="Q243" i="5"/>
  <c r="Q246" i="5" s="1"/>
  <c r="W109" i="5"/>
  <c r="P243" i="5"/>
  <c r="P246" i="5" s="1"/>
  <c r="Q208" i="5"/>
  <c r="Q213" i="5" s="1"/>
  <c r="M398" i="5"/>
  <c r="P299" i="5"/>
  <c r="W310" i="5"/>
  <c r="X310" i="5" s="1"/>
  <c r="W123" i="5"/>
  <c r="X123" i="5" s="1"/>
  <c r="Q28" i="5"/>
  <c r="P165" i="5"/>
  <c r="P169" i="5" s="1"/>
  <c r="P124" i="5"/>
  <c r="W263" i="5"/>
  <c r="W165" i="5"/>
  <c r="W169" i="5" s="1"/>
  <c r="P112" i="5"/>
  <c r="W208" i="5"/>
  <c r="P333" i="5"/>
  <c r="Q332" i="5"/>
  <c r="X332" i="5" s="1"/>
  <c r="P350" i="5"/>
  <c r="Q305" i="5"/>
  <c r="Q299" i="5"/>
  <c r="X299" i="5" s="1"/>
  <c r="P270" i="5"/>
  <c r="Q124" i="5"/>
  <c r="X124" i="5" s="1"/>
  <c r="P132" i="5"/>
  <c r="W444" i="5"/>
  <c r="X444" i="5" s="1"/>
  <c r="W300" i="5"/>
  <c r="P111" i="5"/>
  <c r="Q236" i="5"/>
  <c r="Q269" i="5"/>
  <c r="P310" i="5"/>
  <c r="L351" i="5"/>
  <c r="W302" i="5"/>
  <c r="X302" i="5" s="1"/>
  <c r="Q307" i="5"/>
  <c r="X119" i="5"/>
  <c r="W126" i="5"/>
  <c r="X126" i="5" s="1"/>
  <c r="X116" i="5"/>
  <c r="W312" i="5"/>
  <c r="X312" i="5" s="1"/>
  <c r="X212" i="5"/>
  <c r="X254" i="5"/>
  <c r="X207" i="5"/>
  <c r="X211" i="5"/>
  <c r="L104" i="1"/>
  <c r="P349" i="5"/>
  <c r="X167" i="5"/>
  <c r="W40" i="5"/>
  <c r="P23" i="5"/>
  <c r="J301" i="5"/>
  <c r="P126" i="5"/>
  <c r="X42" i="5"/>
  <c r="Q12" i="8"/>
  <c r="I20" i="5" s="1"/>
  <c r="I19" i="5"/>
  <c r="Q35" i="5"/>
  <c r="X35" i="5" s="1"/>
  <c r="P73" i="8"/>
  <c r="G427" i="5"/>
  <c r="G375" i="5"/>
  <c r="J127" i="5"/>
  <c r="G208" i="5"/>
  <c r="G246" i="5"/>
  <c r="Q30" i="5"/>
  <c r="X30" i="5" s="1"/>
  <c r="M301" i="5"/>
  <c r="P347" i="5"/>
  <c r="X308" i="5"/>
  <c r="J398" i="5"/>
  <c r="J371" i="5"/>
  <c r="M371" i="5"/>
  <c r="M373" i="5" s="1"/>
  <c r="X130" i="5"/>
  <c r="J308" i="5"/>
  <c r="M308" i="5"/>
  <c r="G11" i="5"/>
  <c r="P41" i="5"/>
  <c r="Q24" i="5"/>
  <c r="X24" i="5" s="1"/>
  <c r="W28" i="5"/>
  <c r="P35" i="5"/>
  <c r="X238" i="5"/>
  <c r="J307" i="5"/>
  <c r="P30" i="5"/>
  <c r="J131" i="5"/>
  <c r="J135" i="5"/>
  <c r="O154" i="1"/>
  <c r="G392" i="5" s="1"/>
  <c r="K154" i="1"/>
  <c r="G389" i="5" s="1"/>
  <c r="I154" i="1"/>
  <c r="G388" i="5" s="1"/>
  <c r="N109" i="1"/>
  <c r="H294" i="5" s="1"/>
  <c r="L154" i="1"/>
  <c r="G390" i="5" s="1"/>
  <c r="X293" i="5"/>
  <c r="O144" i="1"/>
  <c r="L336" i="5"/>
  <c r="X252" i="5"/>
  <c r="K16" i="1"/>
  <c r="H95" i="5" s="1"/>
  <c r="X159" i="5"/>
  <c r="X199" i="5"/>
  <c r="L82" i="1"/>
  <c r="X391" i="5"/>
  <c r="N104" i="1"/>
  <c r="O21" i="1"/>
  <c r="X231" i="5"/>
  <c r="X248" i="5"/>
  <c r="X250" i="5"/>
  <c r="X284" i="5"/>
  <c r="X294" i="5"/>
  <c r="O16" i="1"/>
  <c r="L144" i="1"/>
  <c r="Q341" i="5" s="1"/>
  <c r="P47" i="1"/>
  <c r="Q47" i="1" s="1"/>
  <c r="O90" i="1"/>
  <c r="X392" i="5"/>
  <c r="N21" i="1"/>
  <c r="L90" i="1"/>
  <c r="Q29" i="1"/>
  <c r="X89" i="5"/>
  <c r="X155" i="5"/>
  <c r="X389" i="5"/>
  <c r="Q117" i="1"/>
  <c r="Q85" i="1"/>
  <c r="Q32" i="1"/>
  <c r="Q30" i="1"/>
  <c r="L60" i="1"/>
  <c r="G98" i="5" s="1"/>
  <c r="X96" i="5"/>
  <c r="X101" i="5"/>
  <c r="N144" i="1"/>
  <c r="K114" i="1"/>
  <c r="P114" i="1" s="1"/>
  <c r="Q125" i="1"/>
  <c r="P102" i="1"/>
  <c r="Q102" i="1" s="1"/>
  <c r="X281" i="5"/>
  <c r="X285" i="5"/>
  <c r="X297" i="5"/>
  <c r="N16" i="1"/>
  <c r="H101" i="5" s="1"/>
  <c r="P45" i="1"/>
  <c r="Q45" i="1" s="1"/>
  <c r="O60" i="1"/>
  <c r="Q54" i="1"/>
  <c r="P137" i="1"/>
  <c r="Q137" i="1" s="1"/>
  <c r="X205" i="5"/>
  <c r="Q52" i="1"/>
  <c r="P138" i="1"/>
  <c r="Q138" i="1" s="1"/>
  <c r="G418" i="5"/>
  <c r="J305" i="5"/>
  <c r="J313" i="5"/>
  <c r="X230" i="5"/>
  <c r="X192" i="5"/>
  <c r="X233" i="5"/>
  <c r="P312" i="5"/>
  <c r="J312" i="5"/>
  <c r="M416" i="5"/>
  <c r="M418" i="5" s="1"/>
  <c r="M299" i="5"/>
  <c r="J403" i="5"/>
  <c r="M312" i="5"/>
  <c r="X135" i="5"/>
  <c r="J133" i="5"/>
  <c r="M399" i="5"/>
  <c r="O145" i="6"/>
  <c r="J117" i="5"/>
  <c r="P267" i="5"/>
  <c r="P326" i="5"/>
  <c r="P330" i="5" s="1"/>
  <c r="W259" i="5"/>
  <c r="W261" i="5" s="1"/>
  <c r="Q394" i="5"/>
  <c r="X394" i="5" s="1"/>
  <c r="Q110" i="5"/>
  <c r="X110" i="5" s="1"/>
  <c r="M128" i="5"/>
  <c r="Q268" i="5"/>
  <c r="X268" i="5" s="1"/>
  <c r="P308" i="5"/>
  <c r="P428" i="5"/>
  <c r="Q311" i="5"/>
  <c r="X311" i="5" s="1"/>
  <c r="Q304" i="5"/>
  <c r="X304" i="5" s="1"/>
  <c r="Q443" i="5"/>
  <c r="W307" i="5"/>
  <c r="L127" i="5"/>
  <c r="Q180" i="5"/>
  <c r="X180" i="5" s="1"/>
  <c r="W181" i="5"/>
  <c r="W187" i="5" s="1"/>
  <c r="W127" i="5"/>
  <c r="X127" i="5" s="1"/>
  <c r="W121" i="5"/>
  <c r="X121" i="5" s="1"/>
  <c r="Q129" i="5"/>
  <c r="X129" i="5" s="1"/>
  <c r="W132" i="5"/>
  <c r="X132" i="5" s="1"/>
  <c r="W269" i="5"/>
  <c r="P444" i="5"/>
  <c r="P448" i="5" s="1"/>
  <c r="L312" i="5"/>
  <c r="Q181" i="5"/>
  <c r="P403" i="5"/>
  <c r="W117" i="5"/>
  <c r="X117" i="5" s="1"/>
  <c r="W120" i="5"/>
  <c r="X120" i="5" s="1"/>
  <c r="P130" i="5"/>
  <c r="P394" i="5"/>
  <c r="W266" i="5"/>
  <c r="P129" i="5"/>
  <c r="P311" i="5"/>
  <c r="W443" i="5"/>
  <c r="Q125" i="5"/>
  <c r="X125" i="5" s="1"/>
  <c r="P127" i="5"/>
  <c r="W111" i="5"/>
  <c r="X111" i="5" s="1"/>
  <c r="P271" i="5"/>
  <c r="Q271" i="5"/>
  <c r="L443" i="5"/>
  <c r="L448" i="5" s="1"/>
  <c r="W309" i="5"/>
  <c r="Q442" i="5"/>
  <c r="L397" i="5"/>
  <c r="L347" i="5"/>
  <c r="L180" i="5"/>
  <c r="P395" i="5"/>
  <c r="P313" i="5"/>
  <c r="Q128" i="5"/>
  <c r="X128" i="5" s="1"/>
  <c r="P128" i="5"/>
  <c r="Q327" i="5"/>
  <c r="M306" i="5"/>
  <c r="M428" i="5"/>
  <c r="P223" i="5"/>
  <c r="P226" i="5" s="1"/>
  <c r="P115" i="5"/>
  <c r="P427" i="5"/>
  <c r="W270" i="5"/>
  <c r="X270" i="5" s="1"/>
  <c r="M400" i="5"/>
  <c r="W305" i="5"/>
  <c r="P371" i="5"/>
  <c r="P373" i="5" s="1"/>
  <c r="Q300" i="5"/>
  <c r="P302" i="5"/>
  <c r="Q306" i="5"/>
  <c r="Q301" i="5"/>
  <c r="X301" i="5" s="1"/>
  <c r="W395" i="5"/>
  <c r="X395" i="5" s="1"/>
  <c r="P399" i="5"/>
  <c r="W112" i="5"/>
  <c r="X112" i="5" s="1"/>
  <c r="W114" i="5"/>
  <c r="X114" i="5" s="1"/>
  <c r="X118" i="5"/>
  <c r="W115" i="5"/>
  <c r="X115" i="5" s="1"/>
  <c r="W271" i="5"/>
  <c r="Q313" i="5"/>
  <c r="X313" i="5" s="1"/>
  <c r="W327" i="5"/>
  <c r="W330" i="5" s="1"/>
  <c r="W333" i="5"/>
  <c r="X333" i="5" s="1"/>
  <c r="W236" i="5"/>
  <c r="Q267" i="5"/>
  <c r="X267" i="5" s="1"/>
  <c r="M302" i="5"/>
  <c r="Q303" i="5"/>
  <c r="X303" i="5" s="1"/>
  <c r="W371" i="5"/>
  <c r="W373" i="5" s="1"/>
  <c r="W306" i="5"/>
  <c r="P401" i="5"/>
  <c r="W113" i="5"/>
  <c r="X113" i="5" s="1"/>
  <c r="Q131" i="5"/>
  <c r="X131" i="5" s="1"/>
  <c r="W133" i="5"/>
  <c r="X133" i="5" s="1"/>
  <c r="Q226" i="5"/>
  <c r="P39" i="5"/>
  <c r="W32" i="5"/>
  <c r="W37" i="5"/>
  <c r="X37" i="5" s="1"/>
  <c r="W41" i="5"/>
  <c r="X41" i="5" s="1"/>
  <c r="Q32" i="5"/>
  <c r="Q38" i="5"/>
  <c r="X38" i="5" s="1"/>
  <c r="W25" i="5"/>
  <c r="W31" i="5"/>
  <c r="P38" i="5"/>
  <c r="Q25" i="5"/>
  <c r="Q31" i="5"/>
  <c r="P33" i="5"/>
  <c r="W39" i="5"/>
  <c r="X39" i="5" s="1"/>
  <c r="Q33" i="5"/>
  <c r="X33" i="5" s="1"/>
  <c r="P37" i="5"/>
  <c r="J33" i="5"/>
  <c r="O17" i="8"/>
  <c r="J32" i="5"/>
  <c r="Q72" i="1"/>
  <c r="X249" i="5"/>
  <c r="X388" i="5"/>
  <c r="I90" i="1"/>
  <c r="Q53" i="1"/>
  <c r="Q57" i="1"/>
  <c r="Q126" i="1"/>
  <c r="Q127" i="1"/>
  <c r="P50" i="1"/>
  <c r="Q50" i="1" s="1"/>
  <c r="R199" i="5"/>
  <c r="N82" i="1"/>
  <c r="P46" i="1"/>
  <c r="Q46" i="1" s="1"/>
  <c r="Q56" i="1"/>
  <c r="Q65" i="1"/>
  <c r="O104" i="1"/>
  <c r="P239" i="5"/>
  <c r="K135" i="1"/>
  <c r="N96" i="1"/>
  <c r="I201" i="5" s="1"/>
  <c r="O96" i="1"/>
  <c r="K35" i="1"/>
  <c r="P147" i="1"/>
  <c r="Q59" i="1"/>
  <c r="Q73" i="1"/>
  <c r="N60" i="1"/>
  <c r="K90" i="1"/>
  <c r="P77" i="1"/>
  <c r="K104" i="1"/>
  <c r="N35" i="1"/>
  <c r="K60" i="1"/>
  <c r="I60" i="1"/>
  <c r="Q78" i="1"/>
  <c r="L99" i="1"/>
  <c r="X99" i="5"/>
  <c r="X153" i="5"/>
  <c r="X162" i="5"/>
  <c r="K80" i="1"/>
  <c r="I150" i="5"/>
  <c r="G150" i="5"/>
  <c r="L89" i="5"/>
  <c r="P213" i="5"/>
  <c r="N165" i="1"/>
  <c r="Q51" i="1"/>
  <c r="K165" i="1"/>
  <c r="N90" i="1"/>
  <c r="G420" i="5"/>
  <c r="L165" i="1"/>
  <c r="N130" i="1"/>
  <c r="M110" i="5"/>
  <c r="M310" i="5"/>
  <c r="O41" i="8"/>
  <c r="G49" i="5" s="1"/>
  <c r="G467" i="5" s="1"/>
  <c r="O94" i="1"/>
  <c r="K94" i="1"/>
  <c r="N94" i="1"/>
  <c r="H201" i="5" s="1"/>
  <c r="K115" i="1"/>
  <c r="N115" i="1"/>
  <c r="I294" i="5" s="1"/>
  <c r="N36" i="1"/>
  <c r="L85" i="5"/>
  <c r="O36" i="1"/>
  <c r="J24" i="5"/>
  <c r="P34" i="5"/>
  <c r="W34" i="5"/>
  <c r="Q34" i="5"/>
  <c r="P29" i="5"/>
  <c r="W29" i="5"/>
  <c r="X23" i="5"/>
  <c r="J302" i="5"/>
  <c r="P78" i="8"/>
  <c r="J37" i="5"/>
  <c r="J35" i="5"/>
  <c r="Q29" i="5"/>
  <c r="Q36" i="5"/>
  <c r="Q40" i="5"/>
  <c r="X196" i="5"/>
  <c r="K43" i="1"/>
  <c r="O43" i="1"/>
  <c r="K40" i="1"/>
  <c r="O40" i="1"/>
  <c r="Q169" i="5"/>
  <c r="X368" i="5"/>
  <c r="X43" i="5"/>
  <c r="X47" i="5"/>
  <c r="X63" i="5"/>
  <c r="X67" i="5"/>
  <c r="X71" i="5"/>
  <c r="X75" i="5"/>
  <c r="X85" i="5"/>
  <c r="X92" i="5"/>
  <c r="X106" i="5"/>
  <c r="X108" i="5"/>
  <c r="X150" i="5"/>
  <c r="X157" i="5"/>
  <c r="X164" i="5"/>
  <c r="X170" i="5"/>
  <c r="X173" i="5"/>
  <c r="X177" i="5"/>
  <c r="X189" i="5"/>
  <c r="X202" i="5"/>
  <c r="X216" i="5"/>
  <c r="X220" i="5"/>
  <c r="X225" i="5"/>
  <c r="X232" i="5"/>
  <c r="X234" i="5"/>
  <c r="X244" i="5"/>
  <c r="X247" i="5"/>
  <c r="X251" i="5"/>
  <c r="X253" i="5"/>
  <c r="X273" i="5"/>
  <c r="X277" i="5"/>
  <c r="X280" i="5"/>
  <c r="X290" i="5"/>
  <c r="X328" i="5"/>
  <c r="X331" i="5"/>
  <c r="X365" i="5"/>
  <c r="X370" i="5"/>
  <c r="X374" i="5"/>
  <c r="X379" i="5"/>
  <c r="X386" i="5"/>
  <c r="X390" i="5"/>
  <c r="X404" i="5"/>
  <c r="X415" i="5"/>
  <c r="X423" i="5"/>
  <c r="X429" i="5"/>
  <c r="X431" i="5"/>
  <c r="X435" i="5"/>
  <c r="X439" i="5"/>
  <c r="X449" i="5"/>
  <c r="X228" i="5"/>
  <c r="L279" i="5"/>
  <c r="J38" i="5"/>
  <c r="R21" i="6" l="1"/>
  <c r="H118" i="5" s="1"/>
  <c r="Q109" i="6"/>
  <c r="G157" i="5"/>
  <c r="AA158" i="5"/>
  <c r="I460" i="5"/>
  <c r="S98" i="6" s="1"/>
  <c r="H104" i="5"/>
  <c r="AI242" i="5"/>
  <c r="AD242" i="5"/>
  <c r="Z258" i="5"/>
  <c r="AE58" i="5"/>
  <c r="Z58" i="5"/>
  <c r="AB357" i="5"/>
  <c r="W357" i="5"/>
  <c r="X357" i="5" s="1"/>
  <c r="T109" i="6"/>
  <c r="U109" i="6"/>
  <c r="G357" i="5"/>
  <c r="Y109" i="6"/>
  <c r="V109" i="6"/>
  <c r="I95" i="5"/>
  <c r="I104" i="5"/>
  <c r="I101" i="5"/>
  <c r="G50" i="5"/>
  <c r="I50" i="5"/>
  <c r="G25" i="5"/>
  <c r="J25" i="5" s="1"/>
  <c r="I355" i="5"/>
  <c r="Q107" i="6"/>
  <c r="P94" i="1"/>
  <c r="I155" i="5"/>
  <c r="P80" i="1"/>
  <c r="Q80" i="1" s="1"/>
  <c r="P35" i="1"/>
  <c r="Q35" i="1" s="1"/>
  <c r="P109" i="1"/>
  <c r="P96" i="1"/>
  <c r="Q96" i="1" s="1"/>
  <c r="L166" i="1"/>
  <c r="L167" i="1" s="1"/>
  <c r="H253" i="5"/>
  <c r="AA253" i="5" s="1"/>
  <c r="I253" i="5"/>
  <c r="AB253" i="5" s="1"/>
  <c r="AF253" i="5" s="1"/>
  <c r="AJ253" i="5" s="1"/>
  <c r="AN253" i="5" s="1"/>
  <c r="I252" i="5"/>
  <c r="AB252" i="5" s="1"/>
  <c r="AF252" i="5" s="1"/>
  <c r="AJ252" i="5" s="1"/>
  <c r="AN252" i="5" s="1"/>
  <c r="H252" i="5"/>
  <c r="AA252" i="5" s="1"/>
  <c r="H250" i="5"/>
  <c r="I250" i="5"/>
  <c r="H195" i="5"/>
  <c r="G206" i="5"/>
  <c r="T206" i="5"/>
  <c r="M119" i="5"/>
  <c r="G159" i="5"/>
  <c r="AA161" i="5"/>
  <c r="AA160" i="5"/>
  <c r="AE150" i="5"/>
  <c r="AI150" i="5" s="1"/>
  <c r="AA154" i="5"/>
  <c r="Z282" i="5"/>
  <c r="AE282" i="5"/>
  <c r="AI282" i="5" s="1"/>
  <c r="S97" i="6"/>
  <c r="J151" i="5"/>
  <c r="AA173" i="5"/>
  <c r="AA175" i="5" s="1"/>
  <c r="Z175" i="5" s="1"/>
  <c r="R98" i="6"/>
  <c r="AI258" i="5"/>
  <c r="AD258" i="5"/>
  <c r="AE257" i="5"/>
  <c r="Z257" i="5"/>
  <c r="I288" i="5"/>
  <c r="AA294" i="5"/>
  <c r="G290" i="5"/>
  <c r="AB292" i="5"/>
  <c r="AB295" i="5"/>
  <c r="AA292" i="5"/>
  <c r="AA295" i="5"/>
  <c r="AB286" i="5"/>
  <c r="AB289" i="5"/>
  <c r="AA286" i="5"/>
  <c r="AA289" i="5"/>
  <c r="G103" i="5"/>
  <c r="L103" i="5" s="1"/>
  <c r="U103" i="5"/>
  <c r="J49" i="5"/>
  <c r="AA119" i="5"/>
  <c r="S21" i="6"/>
  <c r="O45" i="8"/>
  <c r="G53" i="5" s="1"/>
  <c r="W52" i="5"/>
  <c r="X52" i="5" s="1"/>
  <c r="T290" i="5"/>
  <c r="T320" i="5" s="1"/>
  <c r="L215" i="5"/>
  <c r="AB150" i="5"/>
  <c r="AB156" i="5" s="1"/>
  <c r="Z156" i="5" s="1"/>
  <c r="J230" i="5"/>
  <c r="L221" i="5"/>
  <c r="J220" i="5"/>
  <c r="L232" i="5"/>
  <c r="G198" i="5"/>
  <c r="L198" i="5" s="1"/>
  <c r="L216" i="5"/>
  <c r="J233" i="5"/>
  <c r="L219" i="5"/>
  <c r="G106" i="5"/>
  <c r="L217" i="5"/>
  <c r="L231" i="5"/>
  <c r="J218" i="5"/>
  <c r="G296" i="5"/>
  <c r="L296" i="5" s="1"/>
  <c r="AB97" i="5"/>
  <c r="AF97" i="5" s="1"/>
  <c r="AJ97" i="5" s="1"/>
  <c r="AN97" i="5" s="1"/>
  <c r="J229" i="5"/>
  <c r="I204" i="5"/>
  <c r="AB204" i="5" s="1"/>
  <c r="AF204" i="5" s="1"/>
  <c r="AJ204" i="5" s="1"/>
  <c r="AN204" i="5" s="1"/>
  <c r="AB13" i="5"/>
  <c r="W41" i="8"/>
  <c r="W11" i="8"/>
  <c r="H204" i="5"/>
  <c r="G355" i="5"/>
  <c r="AB53" i="5"/>
  <c r="AF53" i="5" s="1"/>
  <c r="AJ53" i="5" s="1"/>
  <c r="AN53" i="5" s="1"/>
  <c r="O46" i="8"/>
  <c r="G54" i="5" s="1"/>
  <c r="AB54" i="5"/>
  <c r="AF54" i="5" s="1"/>
  <c r="AJ54" i="5" s="1"/>
  <c r="AN54" i="5" s="1"/>
  <c r="O43" i="8"/>
  <c r="G51" i="5" s="1"/>
  <c r="O44" i="8"/>
  <c r="AA138" i="5"/>
  <c r="AE138" i="5" s="1"/>
  <c r="J98" i="5"/>
  <c r="J88" i="5"/>
  <c r="L88" i="5"/>
  <c r="M118" i="5"/>
  <c r="Y21" i="6"/>
  <c r="AB138" i="5"/>
  <c r="AF138" i="5" s="1"/>
  <c r="AJ138" i="5" s="1"/>
  <c r="AN138" i="5" s="1"/>
  <c r="G92" i="5"/>
  <c r="Z209" i="5"/>
  <c r="Z88" i="5"/>
  <c r="AE88" i="5"/>
  <c r="Z283" i="5"/>
  <c r="AE283" i="5"/>
  <c r="AI283" i="5" s="1"/>
  <c r="AA298" i="5"/>
  <c r="AD209" i="5"/>
  <c r="AI209" i="5"/>
  <c r="AE134" i="5"/>
  <c r="Z134" i="5"/>
  <c r="X263" i="5"/>
  <c r="W279" i="5"/>
  <c r="AA97" i="5"/>
  <c r="AB201" i="5"/>
  <c r="AF201" i="5" s="1"/>
  <c r="AJ201" i="5" s="1"/>
  <c r="AN201" i="5" s="1"/>
  <c r="AE103" i="5"/>
  <c r="Z103" i="5"/>
  <c r="AB298" i="5"/>
  <c r="AA296" i="5"/>
  <c r="AB296" i="5"/>
  <c r="AB291" i="5"/>
  <c r="AA291" i="5"/>
  <c r="AA287" i="5"/>
  <c r="AA288" i="5"/>
  <c r="AB288" i="5"/>
  <c r="AB287" i="5"/>
  <c r="R205" i="5"/>
  <c r="AB205" i="5"/>
  <c r="AF205" i="5" s="1"/>
  <c r="AJ205" i="5" s="1"/>
  <c r="AN205" i="5" s="1"/>
  <c r="AB202" i="5"/>
  <c r="S202" i="5"/>
  <c r="S213" i="5" s="1"/>
  <c r="I464" i="5"/>
  <c r="I465" i="5" s="1"/>
  <c r="AB294" i="5"/>
  <c r="K118" i="1"/>
  <c r="N135" i="1"/>
  <c r="O48" i="1"/>
  <c r="O135" i="1"/>
  <c r="G297" i="5" s="1"/>
  <c r="N118" i="1"/>
  <c r="Q147" i="1"/>
  <c r="P154" i="1"/>
  <c r="P165" i="1"/>
  <c r="AA106" i="5"/>
  <c r="R106" i="5"/>
  <c r="AA96" i="5"/>
  <c r="R96" i="5"/>
  <c r="G96" i="5"/>
  <c r="W17" i="8"/>
  <c r="J29" i="5"/>
  <c r="AE85" i="5"/>
  <c r="Z85" i="5"/>
  <c r="AE89" i="5"/>
  <c r="Z89" i="5"/>
  <c r="AJ102" i="5"/>
  <c r="AJ96" i="5"/>
  <c r="AM232" i="5"/>
  <c r="AI230" i="5"/>
  <c r="AE232" i="5"/>
  <c r="AA231" i="5"/>
  <c r="AM233" i="5"/>
  <c r="AI231" i="5"/>
  <c r="AE233" i="5"/>
  <c r="AA232" i="5"/>
  <c r="AI233" i="5"/>
  <c r="AE231" i="5"/>
  <c r="AM230" i="5"/>
  <c r="AI232" i="5"/>
  <c r="AE230" i="5"/>
  <c r="AA233" i="5"/>
  <c r="AM231" i="5"/>
  <c r="AA230" i="5"/>
  <c r="AN233" i="5"/>
  <c r="AJ231" i="5"/>
  <c r="AF233" i="5"/>
  <c r="AB232" i="5"/>
  <c r="AF232" i="5"/>
  <c r="AB231" i="5"/>
  <c r="AN230" i="5"/>
  <c r="AJ232" i="5"/>
  <c r="AF230" i="5"/>
  <c r="AB233" i="5"/>
  <c r="AN232" i="5"/>
  <c r="AN231" i="5"/>
  <c r="AJ233" i="5"/>
  <c r="AF231" i="5"/>
  <c r="AB230" i="5"/>
  <c r="AJ230" i="5"/>
  <c r="J48" i="5"/>
  <c r="AF420" i="5"/>
  <c r="AB422" i="5"/>
  <c r="AB421" i="5"/>
  <c r="AA422" i="5"/>
  <c r="AA421" i="5"/>
  <c r="AE420" i="5"/>
  <c r="Z420" i="5"/>
  <c r="AA423" i="5"/>
  <c r="AA425" i="5"/>
  <c r="AA424" i="5"/>
  <c r="AE255" i="5"/>
  <c r="Z255" i="5"/>
  <c r="Z284" i="5"/>
  <c r="AE284" i="5"/>
  <c r="AF386" i="5"/>
  <c r="AF281" i="5"/>
  <c r="AB290" i="5"/>
  <c r="AB285" i="5"/>
  <c r="AB293" i="5"/>
  <c r="AB297" i="5"/>
  <c r="AB218" i="5"/>
  <c r="AF215" i="5"/>
  <c r="AB217" i="5"/>
  <c r="Z281" i="5"/>
  <c r="AA290" i="5"/>
  <c r="AA285" i="5"/>
  <c r="AE281" i="5"/>
  <c r="AA293" i="5"/>
  <c r="AA297" i="5"/>
  <c r="Z215" i="5"/>
  <c r="AA218" i="5"/>
  <c r="AA217" i="5"/>
  <c r="AE215" i="5"/>
  <c r="AF342" i="5"/>
  <c r="Z342" i="5"/>
  <c r="AA445" i="5"/>
  <c r="AA443" i="5"/>
  <c r="AF241" i="5"/>
  <c r="AB423" i="5"/>
  <c r="AE241" i="5"/>
  <c r="Z241" i="5"/>
  <c r="AE355" i="5"/>
  <c r="AE216" i="5"/>
  <c r="Z216" i="5"/>
  <c r="AA387" i="5"/>
  <c r="AA189" i="5"/>
  <c r="J387" i="5"/>
  <c r="AB424" i="5"/>
  <c r="Z386" i="5"/>
  <c r="AE386" i="5"/>
  <c r="AE256" i="5"/>
  <c r="Z256" i="5"/>
  <c r="AB425" i="5"/>
  <c r="Z28" i="5"/>
  <c r="AE28" i="5"/>
  <c r="AI28" i="5" s="1"/>
  <c r="AE29" i="5"/>
  <c r="Z29" i="5"/>
  <c r="AE46" i="5"/>
  <c r="Z46" i="5"/>
  <c r="AE124" i="5"/>
  <c r="Z124" i="5"/>
  <c r="Z127" i="5"/>
  <c r="AE127" i="5"/>
  <c r="AN24" i="5"/>
  <c r="AN22" i="5"/>
  <c r="Z166" i="5"/>
  <c r="AE166" i="5"/>
  <c r="AE49" i="5"/>
  <c r="AE33" i="5"/>
  <c r="Z33" i="5"/>
  <c r="AE24" i="5"/>
  <c r="Z24" i="5"/>
  <c r="Z32" i="5"/>
  <c r="AE32" i="5"/>
  <c r="Z132" i="5"/>
  <c r="AE132" i="5"/>
  <c r="Z123" i="5"/>
  <c r="AE123" i="5"/>
  <c r="Z111" i="5"/>
  <c r="AE111" i="5"/>
  <c r="Z129" i="5"/>
  <c r="AE129" i="5"/>
  <c r="Z126" i="5"/>
  <c r="AE126" i="5"/>
  <c r="Z125" i="5"/>
  <c r="AE125" i="5"/>
  <c r="Z131" i="5"/>
  <c r="AE131" i="5"/>
  <c r="AJ28" i="5"/>
  <c r="AN28" i="5" s="1"/>
  <c r="AJ30" i="5"/>
  <c r="AN46" i="5"/>
  <c r="Z182" i="5"/>
  <c r="AE182" i="5"/>
  <c r="AE184" i="5"/>
  <c r="Z184" i="5"/>
  <c r="AE30" i="5"/>
  <c r="AI30" i="5" s="1"/>
  <c r="AM30" i="5" s="1"/>
  <c r="Z30" i="5"/>
  <c r="AE53" i="5"/>
  <c r="Z36" i="5"/>
  <c r="AE36" i="5"/>
  <c r="Z128" i="5"/>
  <c r="AE128" i="5"/>
  <c r="Z115" i="5"/>
  <c r="AE115" i="5"/>
  <c r="Z135" i="5"/>
  <c r="AE135" i="5"/>
  <c r="Z112" i="5"/>
  <c r="AE112" i="5"/>
  <c r="Z130" i="5"/>
  <c r="AE130" i="5"/>
  <c r="Z136" i="5"/>
  <c r="AE136" i="5"/>
  <c r="Z183" i="5"/>
  <c r="AE183" i="5"/>
  <c r="Z121" i="5"/>
  <c r="AE121" i="5"/>
  <c r="Z181" i="5"/>
  <c r="AE181" i="5"/>
  <c r="AE56" i="5"/>
  <c r="AE22" i="5"/>
  <c r="Z22" i="5"/>
  <c r="AE55" i="5"/>
  <c r="AI55" i="5" s="1"/>
  <c r="AE35" i="5"/>
  <c r="Z35" i="5"/>
  <c r="AE54" i="5"/>
  <c r="AE52" i="5"/>
  <c r="AE467" i="5" s="1"/>
  <c r="Z133" i="5"/>
  <c r="AE133" i="5"/>
  <c r="Z113" i="5"/>
  <c r="AE113" i="5"/>
  <c r="Z116" i="5"/>
  <c r="AE116" i="5"/>
  <c r="Z137" i="5"/>
  <c r="AE137" i="5"/>
  <c r="Z120" i="5"/>
  <c r="AE120" i="5"/>
  <c r="L387" i="5"/>
  <c r="S148" i="5"/>
  <c r="I251" i="5"/>
  <c r="AB251" i="5" s="1"/>
  <c r="H251" i="5"/>
  <c r="AA251" i="5" s="1"/>
  <c r="G251" i="5"/>
  <c r="G250" i="5"/>
  <c r="G252" i="5"/>
  <c r="L252" i="5" s="1"/>
  <c r="W51" i="5"/>
  <c r="X51" i="5" s="1"/>
  <c r="G253" i="5"/>
  <c r="Q187" i="5"/>
  <c r="J249" i="5"/>
  <c r="N154" i="1"/>
  <c r="G391" i="5" s="1"/>
  <c r="H391" i="5"/>
  <c r="X208" i="5"/>
  <c r="X213" i="5" s="1"/>
  <c r="X326" i="5"/>
  <c r="Q330" i="5"/>
  <c r="L151" i="5"/>
  <c r="X109" i="5"/>
  <c r="X148" i="5" s="1"/>
  <c r="J248" i="5"/>
  <c r="J427" i="5"/>
  <c r="J418" i="5"/>
  <c r="J419" i="5" s="1"/>
  <c r="J259" i="5"/>
  <c r="I347" i="5"/>
  <c r="H347" i="5"/>
  <c r="G422" i="5"/>
  <c r="J422" i="5" s="1"/>
  <c r="G425" i="5"/>
  <c r="G424" i="5"/>
  <c r="J424" i="5" s="1"/>
  <c r="Q15" i="1"/>
  <c r="M352" i="5"/>
  <c r="J352" i="5"/>
  <c r="J372" i="5"/>
  <c r="Q342" i="5"/>
  <c r="Q448" i="5"/>
  <c r="P16" i="1"/>
  <c r="Q16" i="1" s="1"/>
  <c r="P21" i="1"/>
  <c r="Q21" i="1" s="1"/>
  <c r="P43" i="1"/>
  <c r="Q43" i="1" s="1"/>
  <c r="P366" i="5"/>
  <c r="J347" i="5"/>
  <c r="M347" i="5"/>
  <c r="P40" i="1"/>
  <c r="Q40" i="1" s="1"/>
  <c r="P36" i="1"/>
  <c r="W448" i="5"/>
  <c r="J137" i="5"/>
  <c r="M137" i="5"/>
  <c r="M166" i="5"/>
  <c r="J166" i="5"/>
  <c r="J268" i="5"/>
  <c r="G235" i="5"/>
  <c r="G180" i="5"/>
  <c r="J136" i="5"/>
  <c r="M136" i="5"/>
  <c r="M427" i="5"/>
  <c r="M440" i="5" s="1"/>
  <c r="P79" i="5"/>
  <c r="Q79" i="5"/>
  <c r="X223" i="5"/>
  <c r="X442" i="5"/>
  <c r="X309" i="5"/>
  <c r="X236" i="5"/>
  <c r="X305" i="5"/>
  <c r="X375" i="5"/>
  <c r="X384" i="5" s="1"/>
  <c r="X165" i="5"/>
  <c r="X169" i="5" s="1"/>
  <c r="X266" i="5"/>
  <c r="X28" i="5"/>
  <c r="X243" i="5"/>
  <c r="X246" i="5" s="1"/>
  <c r="X235" i="5"/>
  <c r="X371" i="5"/>
  <c r="X373" i="5" s="1"/>
  <c r="Q239" i="5"/>
  <c r="W213" i="5"/>
  <c r="P135" i="5"/>
  <c r="X269" i="5"/>
  <c r="Q336" i="5"/>
  <c r="X300" i="5"/>
  <c r="X307" i="5"/>
  <c r="X31" i="5"/>
  <c r="L248" i="5"/>
  <c r="M402" i="5"/>
  <c r="J402" i="5"/>
  <c r="X40" i="5"/>
  <c r="M403" i="5"/>
  <c r="I144" i="1"/>
  <c r="X32" i="5"/>
  <c r="H428" i="5"/>
  <c r="AA428" i="5" s="1"/>
  <c r="H263" i="5"/>
  <c r="AA263" i="5" s="1"/>
  <c r="H394" i="5"/>
  <c r="AA394" i="5" s="1"/>
  <c r="H299" i="5"/>
  <c r="AA299" i="5" s="1"/>
  <c r="H416" i="5"/>
  <c r="AA416" i="5" s="1"/>
  <c r="AA259" i="5"/>
  <c r="H375" i="5"/>
  <c r="AA375" i="5" s="1"/>
  <c r="H235" i="5"/>
  <c r="AA235" i="5" s="1"/>
  <c r="I165" i="5"/>
  <c r="AB165" i="5" s="1"/>
  <c r="P279" i="5"/>
  <c r="M307" i="5"/>
  <c r="H19" i="5"/>
  <c r="P12" i="8"/>
  <c r="H223" i="5"/>
  <c r="AA223" i="5" s="1"/>
  <c r="W354" i="5"/>
  <c r="W348" i="5"/>
  <c r="W350" i="5"/>
  <c r="W356" i="5"/>
  <c r="H180" i="5"/>
  <c r="AA180" i="5" s="1"/>
  <c r="I180" i="5"/>
  <c r="R17" i="8"/>
  <c r="X443" i="5"/>
  <c r="M313" i="5"/>
  <c r="M305" i="5"/>
  <c r="M259" i="5"/>
  <c r="M261" i="5" s="1"/>
  <c r="X34" i="5"/>
  <c r="P131" i="5"/>
  <c r="J299" i="5"/>
  <c r="M131" i="5"/>
  <c r="M127" i="5"/>
  <c r="J112" i="5"/>
  <c r="M223" i="5"/>
  <c r="M226" i="5" s="1"/>
  <c r="M135" i="5"/>
  <c r="X25" i="5"/>
  <c r="Q148" i="5"/>
  <c r="I82" i="1"/>
  <c r="G153" i="5" s="1"/>
  <c r="G386" i="5"/>
  <c r="K144" i="1"/>
  <c r="Q114" i="1"/>
  <c r="G341" i="5"/>
  <c r="Q343" i="5"/>
  <c r="N48" i="1"/>
  <c r="G343" i="5"/>
  <c r="W343" i="5"/>
  <c r="P104" i="1"/>
  <c r="Q104" i="1" s="1"/>
  <c r="Q100" i="1" s="1"/>
  <c r="J284" i="5"/>
  <c r="G342" i="5"/>
  <c r="P130" i="1"/>
  <c r="Q130" i="1" s="1"/>
  <c r="M133" i="5"/>
  <c r="P320" i="5"/>
  <c r="M129" i="5"/>
  <c r="J129" i="5"/>
  <c r="J300" i="5"/>
  <c r="M300" i="5"/>
  <c r="X259" i="5"/>
  <c r="X261" i="5" s="1"/>
  <c r="M268" i="5"/>
  <c r="P133" i="5"/>
  <c r="J111" i="5"/>
  <c r="G384" i="5"/>
  <c r="M375" i="5"/>
  <c r="M384" i="5" s="1"/>
  <c r="J375" i="5"/>
  <c r="M401" i="5"/>
  <c r="J401" i="5"/>
  <c r="P414" i="5"/>
  <c r="X271" i="5"/>
  <c r="Q399" i="5"/>
  <c r="P440" i="5"/>
  <c r="X336" i="5"/>
  <c r="X306" i="5"/>
  <c r="X181" i="5"/>
  <c r="X187" i="5" s="1"/>
  <c r="W320" i="5"/>
  <c r="W239" i="5"/>
  <c r="X226" i="5"/>
  <c r="Q279" i="5"/>
  <c r="W148" i="5"/>
  <c r="Q320" i="5"/>
  <c r="X327" i="5"/>
  <c r="W336" i="5"/>
  <c r="I165" i="1"/>
  <c r="G338" i="5"/>
  <c r="Q338" i="5"/>
  <c r="L150" i="5"/>
  <c r="J150" i="5"/>
  <c r="J89" i="5"/>
  <c r="Q77" i="1"/>
  <c r="Q84" i="1"/>
  <c r="P90" i="1"/>
  <c r="L199" i="5"/>
  <c r="J199" i="5"/>
  <c r="O82" i="1"/>
  <c r="G161" i="5" s="1"/>
  <c r="L161" i="5" s="1"/>
  <c r="G423" i="5"/>
  <c r="L420" i="5"/>
  <c r="J420" i="5"/>
  <c r="K82" i="1"/>
  <c r="G155" i="5" s="1"/>
  <c r="P60" i="1"/>
  <c r="Q60" i="1" s="1"/>
  <c r="Q49" i="1" s="1"/>
  <c r="K48" i="1"/>
  <c r="L281" i="5"/>
  <c r="J281" i="5"/>
  <c r="R15" i="8"/>
  <c r="I99" i="1"/>
  <c r="J85" i="5"/>
  <c r="P115" i="1"/>
  <c r="N99" i="1"/>
  <c r="L189" i="5"/>
  <c r="J189" i="5"/>
  <c r="X29" i="5"/>
  <c r="K99" i="1"/>
  <c r="O99" i="1"/>
  <c r="R41" i="8"/>
  <c r="W36" i="5"/>
  <c r="AE158" i="5" l="1"/>
  <c r="AB158" i="5"/>
  <c r="AM242" i="5"/>
  <c r="AL242" i="5" s="1"/>
  <c r="AH242" i="5"/>
  <c r="AI58" i="5"/>
  <c r="AD58" i="5"/>
  <c r="M357" i="5"/>
  <c r="J357" i="5"/>
  <c r="AF357" i="5"/>
  <c r="Z357" i="5"/>
  <c r="J51" i="5"/>
  <c r="G52" i="5"/>
  <c r="J52" i="5" s="1"/>
  <c r="G460" i="5"/>
  <c r="G462" i="5" s="1"/>
  <c r="AB119" i="5"/>
  <c r="AF119" i="5" s="1"/>
  <c r="AJ119" i="5" s="1"/>
  <c r="AN119" i="5" s="1"/>
  <c r="I118" i="5"/>
  <c r="AB118" i="5" s="1"/>
  <c r="AF118" i="5" s="1"/>
  <c r="AJ118" i="5" s="1"/>
  <c r="AN118" i="5" s="1"/>
  <c r="I166" i="1"/>
  <c r="I167" i="1" s="1"/>
  <c r="N166" i="1"/>
  <c r="N167" i="1" s="1"/>
  <c r="K166" i="1"/>
  <c r="K167" i="1" s="1"/>
  <c r="O166" i="1"/>
  <c r="O167" i="1" s="1"/>
  <c r="Q90" i="1"/>
  <c r="Q83" i="1" s="1"/>
  <c r="J119" i="5"/>
  <c r="T197" i="5"/>
  <c r="G197" i="5"/>
  <c r="J206" i="5"/>
  <c r="L206" i="5"/>
  <c r="G203" i="5"/>
  <c r="T203" i="5"/>
  <c r="O52" i="8"/>
  <c r="O51" i="8"/>
  <c r="G59" i="5" s="1"/>
  <c r="J161" i="5"/>
  <c r="G294" i="5"/>
  <c r="AE161" i="5"/>
  <c r="AB161" i="5"/>
  <c r="AE160" i="5"/>
  <c r="AB160" i="5"/>
  <c r="AI154" i="5"/>
  <c r="AI156" i="5"/>
  <c r="AE154" i="5"/>
  <c r="AE156" i="5"/>
  <c r="AF150" i="5"/>
  <c r="AF156" i="5" s="1"/>
  <c r="AB154" i="5"/>
  <c r="Z154" i="5" s="1"/>
  <c r="AD282" i="5"/>
  <c r="AE173" i="5"/>
  <c r="AI173" i="5" s="1"/>
  <c r="Z173" i="5"/>
  <c r="H20" i="5"/>
  <c r="AA13" i="5" s="1"/>
  <c r="AA15" i="5" s="1"/>
  <c r="AA332" i="5" s="1"/>
  <c r="R97" i="6"/>
  <c r="AA174" i="5"/>
  <c r="Z174" i="5" s="1"/>
  <c r="AA176" i="5"/>
  <c r="AE119" i="5"/>
  <c r="R45" i="8"/>
  <c r="W45" i="8"/>
  <c r="AM258" i="5"/>
  <c r="AL258" i="5" s="1"/>
  <c r="AH258" i="5"/>
  <c r="AI257" i="5"/>
  <c r="AD257" i="5"/>
  <c r="G288" i="5"/>
  <c r="L288" i="5" s="1"/>
  <c r="AF292" i="5"/>
  <c r="J103" i="5"/>
  <c r="Z292" i="5"/>
  <c r="Z289" i="5"/>
  <c r="AE292" i="5"/>
  <c r="AE295" i="5"/>
  <c r="Z295" i="5"/>
  <c r="AF295" i="5"/>
  <c r="J232" i="5"/>
  <c r="J219" i="5"/>
  <c r="Z286" i="5"/>
  <c r="AF286" i="5"/>
  <c r="AF289" i="5"/>
  <c r="AE286" i="5"/>
  <c r="AE289" i="5"/>
  <c r="AM282" i="5"/>
  <c r="AL282" i="5" s="1"/>
  <c r="AH282" i="5"/>
  <c r="U97" i="5"/>
  <c r="U106" i="5"/>
  <c r="AB52" i="5"/>
  <c r="W49" i="5"/>
  <c r="X49" i="5" s="1"/>
  <c r="AB49" i="5"/>
  <c r="J198" i="5"/>
  <c r="J296" i="5"/>
  <c r="L229" i="5"/>
  <c r="L220" i="5"/>
  <c r="Z150" i="5"/>
  <c r="G97" i="5"/>
  <c r="J97" i="5" s="1"/>
  <c r="L233" i="5"/>
  <c r="L218" i="5"/>
  <c r="AB106" i="5"/>
  <c r="AF106" i="5" s="1"/>
  <c r="AJ106" i="5" s="1"/>
  <c r="AN106" i="5" s="1"/>
  <c r="J217" i="5"/>
  <c r="L230" i="5"/>
  <c r="J221" i="5"/>
  <c r="R196" i="5"/>
  <c r="J231" i="5"/>
  <c r="R202" i="5"/>
  <c r="AA102" i="5"/>
  <c r="Z102" i="5" s="1"/>
  <c r="G202" i="5"/>
  <c r="G201" i="5" s="1"/>
  <c r="AA201" i="5"/>
  <c r="G196" i="5"/>
  <c r="G192" i="5"/>
  <c r="J192" i="5" s="1"/>
  <c r="L155" i="5"/>
  <c r="J153" i="5"/>
  <c r="V107" i="6"/>
  <c r="L162" i="5"/>
  <c r="G204" i="5"/>
  <c r="W53" i="5"/>
  <c r="X53" i="5" s="1"/>
  <c r="T21" i="6"/>
  <c r="W54" i="5"/>
  <c r="X54" i="5" s="1"/>
  <c r="Z54" i="5"/>
  <c r="Z53" i="5"/>
  <c r="Y107" i="6"/>
  <c r="T107" i="6"/>
  <c r="U107" i="6"/>
  <c r="W355" i="5"/>
  <c r="X355" i="5" s="1"/>
  <c r="AB355" i="5"/>
  <c r="W44" i="8"/>
  <c r="R44" i="8"/>
  <c r="J55" i="5"/>
  <c r="W47" i="8"/>
  <c r="W46" i="8"/>
  <c r="J56" i="5"/>
  <c r="R46" i="8"/>
  <c r="W55" i="5"/>
  <c r="X55" i="5" s="1"/>
  <c r="AB55" i="5"/>
  <c r="W57" i="5"/>
  <c r="X57" i="5" s="1"/>
  <c r="AB57" i="5"/>
  <c r="W56" i="5"/>
  <c r="X56" i="5" s="1"/>
  <c r="AB56" i="5"/>
  <c r="W48" i="8"/>
  <c r="W43" i="8"/>
  <c r="J54" i="5"/>
  <c r="R43" i="8"/>
  <c r="W42" i="8"/>
  <c r="J53" i="5"/>
  <c r="R42" i="8"/>
  <c r="W59" i="5"/>
  <c r="X59" i="5" s="1"/>
  <c r="AB59" i="5"/>
  <c r="Z138" i="5"/>
  <c r="V21" i="6"/>
  <c r="M138" i="5"/>
  <c r="Y44" i="6"/>
  <c r="AA118" i="5"/>
  <c r="U21" i="6"/>
  <c r="G102" i="5"/>
  <c r="G101" i="5" s="1"/>
  <c r="AI88" i="5"/>
  <c r="AD88" i="5"/>
  <c r="R102" i="5"/>
  <c r="AD283" i="5"/>
  <c r="Z298" i="5"/>
  <c r="AM209" i="5"/>
  <c r="AL209" i="5" s="1"/>
  <c r="AH209" i="5"/>
  <c r="AI134" i="5"/>
  <c r="AD134" i="5"/>
  <c r="AD103" i="5"/>
  <c r="AI103" i="5"/>
  <c r="Z97" i="5"/>
  <c r="AE97" i="5"/>
  <c r="AA203" i="5"/>
  <c r="Z203" i="5" s="1"/>
  <c r="AA206" i="5"/>
  <c r="AA197" i="5"/>
  <c r="Z197" i="5" s="1"/>
  <c r="AA200" i="5"/>
  <c r="AA198" i="5"/>
  <c r="Z198" i="5" s="1"/>
  <c r="AA194" i="5"/>
  <c r="Z194" i="5" s="1"/>
  <c r="AE298" i="5"/>
  <c r="Z296" i="5"/>
  <c r="AA104" i="5"/>
  <c r="AA105" i="5"/>
  <c r="G105" i="5"/>
  <c r="G104" i="5" s="1"/>
  <c r="R105" i="5"/>
  <c r="S451" i="5"/>
  <c r="S453" i="5" s="1"/>
  <c r="AF298" i="5"/>
  <c r="AF291" i="5"/>
  <c r="AE296" i="5"/>
  <c r="Z291" i="5"/>
  <c r="AF296" i="5"/>
  <c r="Z287" i="5"/>
  <c r="AE291" i="5"/>
  <c r="Z288" i="5"/>
  <c r="AF287" i="5"/>
  <c r="AF288" i="5"/>
  <c r="AE287" i="5"/>
  <c r="AE288" i="5"/>
  <c r="AM283" i="5"/>
  <c r="AL283" i="5" s="1"/>
  <c r="AH283" i="5"/>
  <c r="AF202" i="5"/>
  <c r="AA204" i="5"/>
  <c r="AA193" i="5"/>
  <c r="Z193" i="5" s="1"/>
  <c r="AA195" i="5"/>
  <c r="Z195" i="5" s="1"/>
  <c r="P135" i="1"/>
  <c r="Q135" i="1" s="1"/>
  <c r="Q119" i="1" s="1"/>
  <c r="P144" i="1"/>
  <c r="Q144" i="1" s="1"/>
  <c r="Q136" i="1" s="1"/>
  <c r="P118" i="1"/>
  <c r="P48" i="1"/>
  <c r="Q48" i="1" s="1"/>
  <c r="AE96" i="5"/>
  <c r="Z96" i="5"/>
  <c r="AE106" i="5"/>
  <c r="H461" i="5"/>
  <c r="Z422" i="5"/>
  <c r="AI89" i="5"/>
  <c r="AD89" i="5"/>
  <c r="AI85" i="5"/>
  <c r="AD85" i="5"/>
  <c r="AM150" i="5"/>
  <c r="AM156" i="5" s="1"/>
  <c r="Z285" i="5"/>
  <c r="AA202" i="5"/>
  <c r="Z202" i="5" s="1"/>
  <c r="AN96" i="5"/>
  <c r="AA205" i="5"/>
  <c r="Z205" i="5" s="1"/>
  <c r="AN102" i="5"/>
  <c r="AA468" i="5"/>
  <c r="AA469" i="5" s="1"/>
  <c r="AD28" i="5"/>
  <c r="Z421" i="5"/>
  <c r="AA391" i="5"/>
  <c r="AF424" i="5"/>
  <c r="AF423" i="5"/>
  <c r="AF294" i="5"/>
  <c r="AF425" i="5"/>
  <c r="AB95" i="5"/>
  <c r="Z217" i="5"/>
  <c r="Z290" i="5"/>
  <c r="AA92" i="5"/>
  <c r="AA95" i="5"/>
  <c r="AE387" i="5"/>
  <c r="AE389" i="5" s="1"/>
  <c r="AI216" i="5"/>
  <c r="AD216" i="5"/>
  <c r="AA444" i="5"/>
  <c r="AJ342" i="5"/>
  <c r="AD342" i="5"/>
  <c r="AE293" i="5"/>
  <c r="Z293" i="5"/>
  <c r="AE423" i="5"/>
  <c r="Z423" i="5"/>
  <c r="H330" i="5"/>
  <c r="AA326" i="5"/>
  <c r="AB15" i="5"/>
  <c r="AB332" i="5" s="1"/>
  <c r="Z253" i="5"/>
  <c r="AE253" i="5"/>
  <c r="Z251" i="5"/>
  <c r="AE251" i="5"/>
  <c r="AA261" i="5"/>
  <c r="AE443" i="5"/>
  <c r="AE445" i="5"/>
  <c r="AI256" i="5"/>
  <c r="AD256" i="5"/>
  <c r="AA389" i="5"/>
  <c r="AE189" i="5"/>
  <c r="AE197" i="5" s="1"/>
  <c r="AD197" i="5" s="1"/>
  <c r="AA196" i="5"/>
  <c r="Z196" i="5" s="1"/>
  <c r="Z189" i="5"/>
  <c r="AA192" i="5"/>
  <c r="Z192" i="5" s="1"/>
  <c r="AB387" i="5"/>
  <c r="AB392" i="5" s="1"/>
  <c r="AI241" i="5"/>
  <c r="AD241" i="5"/>
  <c r="Z218" i="5"/>
  <c r="AA98" i="5"/>
  <c r="AA320" i="5"/>
  <c r="AF297" i="5"/>
  <c r="AI255" i="5"/>
  <c r="AD255" i="5"/>
  <c r="AE394" i="5"/>
  <c r="AE259" i="5"/>
  <c r="AE263" i="5"/>
  <c r="AB101" i="5"/>
  <c r="AF251" i="5"/>
  <c r="AA388" i="5"/>
  <c r="AB98" i="5"/>
  <c r="AB92" i="5"/>
  <c r="AA392" i="5"/>
  <c r="AI355" i="5"/>
  <c r="AJ241" i="5"/>
  <c r="AA199" i="5"/>
  <c r="AE294" i="5"/>
  <c r="Z294" i="5"/>
  <c r="AI281" i="5"/>
  <c r="AE290" i="5"/>
  <c r="AE285" i="5"/>
  <c r="AD281" i="5"/>
  <c r="AF293" i="5"/>
  <c r="AI284" i="5"/>
  <c r="AD284" i="5"/>
  <c r="AE424" i="5"/>
  <c r="Z424" i="5"/>
  <c r="AJ420" i="5"/>
  <c r="AF422" i="5"/>
  <c r="AF421" i="5"/>
  <c r="AE299" i="5"/>
  <c r="W347" i="5"/>
  <c r="AB347" i="5"/>
  <c r="AE375" i="5"/>
  <c r="AA384" i="5"/>
  <c r="AE235" i="5"/>
  <c r="AA239" i="5"/>
  <c r="AA418" i="5"/>
  <c r="AE416" i="5"/>
  <c r="AE428" i="5"/>
  <c r="Q347" i="5"/>
  <c r="AA347" i="5"/>
  <c r="AE252" i="5"/>
  <c r="Z252" i="5"/>
  <c r="AI386" i="5"/>
  <c r="AD386" i="5"/>
  <c r="AA390" i="5"/>
  <c r="AA442" i="5"/>
  <c r="AI215" i="5"/>
  <c r="AE218" i="5"/>
  <c r="AE217" i="5"/>
  <c r="AD215" i="5"/>
  <c r="Z297" i="5"/>
  <c r="AE297" i="5"/>
  <c r="AJ215" i="5"/>
  <c r="AF217" i="5"/>
  <c r="AF218" i="5"/>
  <c r="AJ281" i="5"/>
  <c r="AF290" i="5"/>
  <c r="AF285" i="5"/>
  <c r="AJ386" i="5"/>
  <c r="Z425" i="5"/>
  <c r="AE425" i="5"/>
  <c r="AI420" i="5"/>
  <c r="AE422" i="5"/>
  <c r="AE421" i="5"/>
  <c r="AD420" i="5"/>
  <c r="AI113" i="5"/>
  <c r="AD113" i="5"/>
  <c r="AI52" i="5"/>
  <c r="AI467" i="5" s="1"/>
  <c r="AI181" i="5"/>
  <c r="AD181" i="5"/>
  <c r="AI183" i="5"/>
  <c r="AD183" i="5"/>
  <c r="AI136" i="5"/>
  <c r="AD136" i="5"/>
  <c r="AD112" i="5"/>
  <c r="AI112" i="5"/>
  <c r="AI125" i="5"/>
  <c r="AD125" i="5"/>
  <c r="AD129" i="5"/>
  <c r="AI129" i="5"/>
  <c r="AD123" i="5"/>
  <c r="AI123" i="5"/>
  <c r="AI49" i="5"/>
  <c r="AD127" i="5"/>
  <c r="AI127" i="5"/>
  <c r="AD138" i="5"/>
  <c r="AI138" i="5"/>
  <c r="AI35" i="5"/>
  <c r="AD35" i="5"/>
  <c r="AI22" i="5"/>
  <c r="AD22" i="5"/>
  <c r="AD53" i="5"/>
  <c r="AI53" i="5"/>
  <c r="AI184" i="5"/>
  <c r="AD184" i="5"/>
  <c r="AD24" i="5"/>
  <c r="AI24" i="5"/>
  <c r="AD46" i="5"/>
  <c r="AI46" i="5"/>
  <c r="AI29" i="5"/>
  <c r="AD29" i="5"/>
  <c r="AD115" i="5"/>
  <c r="AI115" i="5"/>
  <c r="I187" i="5"/>
  <c r="AB180" i="5"/>
  <c r="Z180" i="5" s="1"/>
  <c r="AE223" i="5"/>
  <c r="AA226" i="5"/>
  <c r="AI120" i="5"/>
  <c r="AD120" i="5"/>
  <c r="AI116" i="5"/>
  <c r="AD116" i="5"/>
  <c r="AD121" i="5"/>
  <c r="AI121" i="5"/>
  <c r="AI130" i="5"/>
  <c r="AD130" i="5"/>
  <c r="AI135" i="5"/>
  <c r="AD135" i="5"/>
  <c r="AI128" i="5"/>
  <c r="AD128" i="5"/>
  <c r="AI36" i="5"/>
  <c r="AD36" i="5"/>
  <c r="AI182" i="5"/>
  <c r="AD182" i="5"/>
  <c r="AH30" i="5"/>
  <c r="AN30" i="5"/>
  <c r="AL30" i="5" s="1"/>
  <c r="AD131" i="5"/>
  <c r="AI131" i="5"/>
  <c r="AD126" i="5"/>
  <c r="AI126" i="5"/>
  <c r="AI111" i="5"/>
  <c r="AD111" i="5"/>
  <c r="AD132" i="5"/>
  <c r="AI132" i="5"/>
  <c r="AI32" i="5"/>
  <c r="AD32" i="5"/>
  <c r="AI166" i="5"/>
  <c r="AD166" i="5"/>
  <c r="AH28" i="5"/>
  <c r="AM28" i="5"/>
  <c r="AL28" i="5" s="1"/>
  <c r="AD137" i="5"/>
  <c r="AI137" i="5"/>
  <c r="AI133" i="5"/>
  <c r="AD133" i="5"/>
  <c r="AE180" i="5"/>
  <c r="AF165" i="5"/>
  <c r="AD54" i="5"/>
  <c r="AI54" i="5"/>
  <c r="AM55" i="5"/>
  <c r="AI56" i="5"/>
  <c r="AD30" i="5"/>
  <c r="AI33" i="5"/>
  <c r="AD33" i="5"/>
  <c r="AI124" i="5"/>
  <c r="AD124" i="5"/>
  <c r="J21" i="5"/>
  <c r="X330" i="5"/>
  <c r="I332" i="5"/>
  <c r="G261" i="5"/>
  <c r="L98" i="5"/>
  <c r="G414" i="5"/>
  <c r="J252" i="5"/>
  <c r="AA177" i="5"/>
  <c r="AA178" i="5"/>
  <c r="J417" i="5"/>
  <c r="I461" i="5"/>
  <c r="L342" i="5"/>
  <c r="L159" i="5"/>
  <c r="L341" i="5"/>
  <c r="J389" i="5"/>
  <c r="J425" i="5"/>
  <c r="L392" i="5"/>
  <c r="L422" i="5"/>
  <c r="J157" i="5"/>
  <c r="L343" i="5"/>
  <c r="L390" i="5"/>
  <c r="J251" i="5"/>
  <c r="J99" i="5"/>
  <c r="J235" i="5"/>
  <c r="J384" i="5"/>
  <c r="J385" i="5" s="1"/>
  <c r="J180" i="5"/>
  <c r="W352" i="5"/>
  <c r="I299" i="5"/>
  <c r="AB299" i="5" s="1"/>
  <c r="Z299" i="5" s="1"/>
  <c r="I208" i="5"/>
  <c r="I427" i="5"/>
  <c r="AB427" i="5" s="1"/>
  <c r="AF427" i="5" s="1"/>
  <c r="AJ427" i="5" s="1"/>
  <c r="AN427" i="5" s="1"/>
  <c r="AB326" i="5"/>
  <c r="I235" i="5"/>
  <c r="AB235" i="5" s="1"/>
  <c r="Z235" i="5" s="1"/>
  <c r="Z239" i="5" s="1"/>
  <c r="I375" i="5"/>
  <c r="AB375" i="5" s="1"/>
  <c r="AB259" i="5"/>
  <c r="AF259" i="5" s="1"/>
  <c r="AJ259" i="5" s="1"/>
  <c r="AN259" i="5" s="1"/>
  <c r="I263" i="5"/>
  <c r="AB263" i="5" s="1"/>
  <c r="I394" i="5"/>
  <c r="AB394" i="5" s="1"/>
  <c r="AF394" i="5" s="1"/>
  <c r="AJ394" i="5" s="1"/>
  <c r="AN394" i="5" s="1"/>
  <c r="I223" i="5"/>
  <c r="L425" i="5"/>
  <c r="M183" i="5"/>
  <c r="J183" i="5"/>
  <c r="M182" i="5"/>
  <c r="J182" i="5"/>
  <c r="L424" i="5"/>
  <c r="G421" i="5"/>
  <c r="Q109" i="1"/>
  <c r="Q340" i="5"/>
  <c r="L251" i="5"/>
  <c r="Q36" i="1"/>
  <c r="X448" i="5"/>
  <c r="H427" i="5"/>
  <c r="AA427" i="5" s="1"/>
  <c r="Q402" i="5"/>
  <c r="I416" i="5"/>
  <c r="AB416" i="5" s="1"/>
  <c r="W399" i="5"/>
  <c r="X399" i="5" s="1"/>
  <c r="W349" i="5"/>
  <c r="H208" i="5"/>
  <c r="AA208" i="5" s="1"/>
  <c r="W351" i="5"/>
  <c r="I428" i="5"/>
  <c r="AB428" i="5" s="1"/>
  <c r="AF428" i="5" s="1"/>
  <c r="AJ428" i="5" s="1"/>
  <c r="AN428" i="5" s="1"/>
  <c r="I169" i="5"/>
  <c r="W353" i="5"/>
  <c r="W341" i="5"/>
  <c r="X341" i="5" s="1"/>
  <c r="W342" i="5"/>
  <c r="X342" i="5" s="1"/>
  <c r="X279" i="5"/>
  <c r="X239" i="5"/>
  <c r="X320" i="5"/>
  <c r="Q401" i="5"/>
  <c r="H418" i="5"/>
  <c r="G226" i="5"/>
  <c r="M235" i="5"/>
  <c r="J390" i="5"/>
  <c r="G339" i="5"/>
  <c r="L99" i="5"/>
  <c r="J223" i="5"/>
  <c r="W401" i="5"/>
  <c r="M180" i="5"/>
  <c r="P61" i="8"/>
  <c r="W339" i="5"/>
  <c r="J113" i="5"/>
  <c r="I373" i="5"/>
  <c r="J236" i="5"/>
  <c r="M236" i="5"/>
  <c r="Q427" i="5"/>
  <c r="M267" i="5"/>
  <c r="J267" i="5"/>
  <c r="H226" i="5"/>
  <c r="Q403" i="5"/>
  <c r="V14" i="6"/>
  <c r="J124" i="5"/>
  <c r="W398" i="5"/>
  <c r="W428" i="5"/>
  <c r="J123" i="5"/>
  <c r="H384" i="5"/>
  <c r="Q428" i="5"/>
  <c r="Q397" i="5"/>
  <c r="J120" i="5"/>
  <c r="W400" i="5"/>
  <c r="W403" i="5"/>
  <c r="W402" i="5"/>
  <c r="Q400" i="5"/>
  <c r="Q398" i="5"/>
  <c r="H373" i="5"/>
  <c r="T14" i="6"/>
  <c r="U14" i="6"/>
  <c r="W397" i="5"/>
  <c r="O12" i="8"/>
  <c r="G20" i="5" s="1"/>
  <c r="G239" i="5"/>
  <c r="H239" i="5"/>
  <c r="J130" i="5"/>
  <c r="M130" i="5"/>
  <c r="J309" i="5"/>
  <c r="M309" i="5"/>
  <c r="M303" i="5"/>
  <c r="J303" i="5"/>
  <c r="P148" i="5"/>
  <c r="J118" i="5"/>
  <c r="J125" i="5"/>
  <c r="Q154" i="1"/>
  <c r="Q145" i="1" s="1"/>
  <c r="G340" i="5"/>
  <c r="J341" i="5"/>
  <c r="L389" i="5"/>
  <c r="L386" i="5"/>
  <c r="J386" i="5"/>
  <c r="J392" i="5"/>
  <c r="L157" i="5"/>
  <c r="L388" i="5"/>
  <c r="J159" i="5"/>
  <c r="J388" i="5"/>
  <c r="X343" i="5"/>
  <c r="J343" i="5"/>
  <c r="H261" i="5"/>
  <c r="J342" i="5"/>
  <c r="J181" i="5"/>
  <c r="M181" i="5"/>
  <c r="M243" i="5"/>
  <c r="M246" i="5" s="1"/>
  <c r="J243" i="5"/>
  <c r="J311" i="5"/>
  <c r="M311" i="5"/>
  <c r="J266" i="5"/>
  <c r="M266" i="5"/>
  <c r="J115" i="5"/>
  <c r="P82" i="1"/>
  <c r="Q82" i="1" s="1"/>
  <c r="Q75" i="1" s="1"/>
  <c r="W338" i="5"/>
  <c r="Q74" i="1"/>
  <c r="Q61" i="1" s="1"/>
  <c r="L423" i="5"/>
  <c r="J423" i="5"/>
  <c r="J176" i="5"/>
  <c r="L176" i="5"/>
  <c r="L173" i="5"/>
  <c r="J173" i="5"/>
  <c r="L250" i="5"/>
  <c r="J250" i="5"/>
  <c r="J338" i="5"/>
  <c r="L338" i="5"/>
  <c r="L293" i="5"/>
  <c r="J293" i="5"/>
  <c r="J172" i="5"/>
  <c r="L172" i="5"/>
  <c r="L253" i="5"/>
  <c r="J253" i="5"/>
  <c r="J263" i="5"/>
  <c r="M263" i="5"/>
  <c r="L205" i="5"/>
  <c r="J205" i="5"/>
  <c r="Q115" i="1"/>
  <c r="M269" i="5"/>
  <c r="J269" i="5"/>
  <c r="L106" i="5"/>
  <c r="J106" i="5"/>
  <c r="J121" i="5"/>
  <c r="J270" i="5"/>
  <c r="M270" i="5"/>
  <c r="P99" i="1"/>
  <c r="Q99" i="1" s="1"/>
  <c r="Q91" i="1" s="1"/>
  <c r="Q94" i="1"/>
  <c r="M208" i="5"/>
  <c r="J208" i="5"/>
  <c r="X36" i="5"/>
  <c r="AF158" i="5" l="1"/>
  <c r="Z158" i="5"/>
  <c r="AI158" i="5"/>
  <c r="AD158" i="5"/>
  <c r="R148" i="5"/>
  <c r="AM58" i="5"/>
  <c r="AL58" i="5" s="1"/>
  <c r="AH58" i="5"/>
  <c r="AJ357" i="5"/>
  <c r="AD357" i="5"/>
  <c r="J59" i="5"/>
  <c r="G60" i="5"/>
  <c r="J60" i="5" s="1"/>
  <c r="Z119" i="5"/>
  <c r="L201" i="5"/>
  <c r="P166" i="1"/>
  <c r="P167" i="1" s="1"/>
  <c r="J197" i="5"/>
  <c r="L197" i="5"/>
  <c r="J203" i="5"/>
  <c r="L203" i="5"/>
  <c r="T213" i="5"/>
  <c r="T451" i="5" s="1"/>
  <c r="G195" i="5"/>
  <c r="J195" i="5" s="1"/>
  <c r="R52" i="8"/>
  <c r="W52" i="8"/>
  <c r="T59" i="5"/>
  <c r="AA59" i="5"/>
  <c r="AE59" i="5" s="1"/>
  <c r="AI59" i="5" s="1"/>
  <c r="AM59" i="5" s="1"/>
  <c r="AD150" i="5"/>
  <c r="J57" i="5"/>
  <c r="W51" i="8"/>
  <c r="R51" i="8"/>
  <c r="T57" i="5"/>
  <c r="AA57" i="5"/>
  <c r="AE57" i="5" s="1"/>
  <c r="AI57" i="5" s="1"/>
  <c r="AM57" i="5" s="1"/>
  <c r="AE175" i="5"/>
  <c r="AD175" i="5" s="1"/>
  <c r="AE174" i="5"/>
  <c r="AD174" i="5" s="1"/>
  <c r="AE176" i="5"/>
  <c r="AD176" i="5" s="1"/>
  <c r="AF161" i="5"/>
  <c r="AD161" i="5" s="1"/>
  <c r="Z161" i="5"/>
  <c r="AI161" i="5"/>
  <c r="AF160" i="5"/>
  <c r="AD160" i="5" s="1"/>
  <c r="AI160" i="5"/>
  <c r="Z160" i="5"/>
  <c r="AD156" i="5"/>
  <c r="AM154" i="5"/>
  <c r="AJ150" i="5"/>
  <c r="AJ156" i="5" s="1"/>
  <c r="AH156" i="5" s="1"/>
  <c r="AF154" i="5"/>
  <c r="AD154" i="5" s="1"/>
  <c r="G461" i="5"/>
  <c r="Z176" i="5"/>
  <c r="AJ292" i="5"/>
  <c r="AI119" i="5"/>
  <c r="AD119" i="5"/>
  <c r="AD292" i="5"/>
  <c r="AM257" i="5"/>
  <c r="AL257" i="5" s="1"/>
  <c r="AH257" i="5"/>
  <c r="AD286" i="5"/>
  <c r="AI292" i="5"/>
  <c r="J202" i="5"/>
  <c r="AJ295" i="5"/>
  <c r="AI295" i="5"/>
  <c r="AD295" i="5"/>
  <c r="AD289" i="5"/>
  <c r="U148" i="5"/>
  <c r="U451" i="5" s="1"/>
  <c r="U453" i="5" s="1"/>
  <c r="AJ286" i="5"/>
  <c r="AJ289" i="5"/>
  <c r="AI286" i="5"/>
  <c r="AI289" i="5"/>
  <c r="L226" i="5"/>
  <c r="AF49" i="5"/>
  <c r="Z49" i="5"/>
  <c r="AB467" i="5"/>
  <c r="AF52" i="5"/>
  <c r="AB443" i="5"/>
  <c r="Z52" i="5"/>
  <c r="Z467" i="5" s="1"/>
  <c r="AB445" i="5"/>
  <c r="AB104" i="5"/>
  <c r="AF104" i="5" s="1"/>
  <c r="L239" i="5"/>
  <c r="L202" i="5"/>
  <c r="Z106" i="5"/>
  <c r="J162" i="5"/>
  <c r="L97" i="5"/>
  <c r="G95" i="5"/>
  <c r="L95" i="5" s="1"/>
  <c r="L153" i="5"/>
  <c r="L169" i="5" s="1"/>
  <c r="AE102" i="5"/>
  <c r="AI102" i="5" s="1"/>
  <c r="AA101" i="5"/>
  <c r="J196" i="5"/>
  <c r="L196" i="5"/>
  <c r="Q97" i="6"/>
  <c r="Y97" i="6" s="1"/>
  <c r="L192" i="5"/>
  <c r="J288" i="5"/>
  <c r="J155" i="5"/>
  <c r="I333" i="5"/>
  <c r="J355" i="5"/>
  <c r="M355" i="5"/>
  <c r="M366" i="5" s="1"/>
  <c r="AF355" i="5"/>
  <c r="Z355" i="5"/>
  <c r="AF56" i="5"/>
  <c r="Z56" i="5"/>
  <c r="AF55" i="5"/>
  <c r="Z55" i="5"/>
  <c r="L102" i="5"/>
  <c r="AF59" i="5"/>
  <c r="AF57" i="5"/>
  <c r="J102" i="5"/>
  <c r="J138" i="5"/>
  <c r="AE118" i="5"/>
  <c r="Z118" i="5"/>
  <c r="AM88" i="5"/>
  <c r="AL88" i="5" s="1"/>
  <c r="AH88" i="5"/>
  <c r="AM134" i="5"/>
  <c r="AL134" i="5" s="1"/>
  <c r="AH134" i="5"/>
  <c r="AD97" i="5"/>
  <c r="AI97" i="5"/>
  <c r="AM103" i="5"/>
  <c r="AL103" i="5" s="1"/>
  <c r="AH103" i="5"/>
  <c r="AE206" i="5"/>
  <c r="Z206" i="5"/>
  <c r="AE203" i="5"/>
  <c r="AE200" i="5"/>
  <c r="Z200" i="5"/>
  <c r="AJ291" i="5"/>
  <c r="AE198" i="5"/>
  <c r="AD198" i="5" s="1"/>
  <c r="AE194" i="5"/>
  <c r="AD194" i="5" s="1"/>
  <c r="AI291" i="5"/>
  <c r="L105" i="5"/>
  <c r="J105" i="5"/>
  <c r="AE105" i="5"/>
  <c r="Z105" i="5"/>
  <c r="AD291" i="5"/>
  <c r="AJ298" i="5"/>
  <c r="AD298" i="5"/>
  <c r="AI298" i="5"/>
  <c r="AJ296" i="5"/>
  <c r="AD287" i="5"/>
  <c r="AD296" i="5"/>
  <c r="AI296" i="5"/>
  <c r="AD288" i="5"/>
  <c r="AJ287" i="5"/>
  <c r="AJ288" i="5"/>
  <c r="AI287" i="5"/>
  <c r="AI288" i="5"/>
  <c r="L204" i="5"/>
  <c r="J204" i="5"/>
  <c r="AE204" i="5"/>
  <c r="Z204" i="5"/>
  <c r="AJ202" i="5"/>
  <c r="Z201" i="5"/>
  <c r="AE201" i="5"/>
  <c r="AE193" i="5"/>
  <c r="AD193" i="5" s="1"/>
  <c r="AE195" i="5"/>
  <c r="AD195" i="5" s="1"/>
  <c r="AI106" i="5"/>
  <c r="AD106" i="5"/>
  <c r="AI96" i="5"/>
  <c r="AD96" i="5"/>
  <c r="AE202" i="5"/>
  <c r="AD202" i="5" s="1"/>
  <c r="J20" i="5"/>
  <c r="W12" i="8"/>
  <c r="AH89" i="5"/>
  <c r="AM89" i="5"/>
  <c r="AL89" i="5" s="1"/>
  <c r="AM85" i="5"/>
  <c r="AL85" i="5" s="1"/>
  <c r="AH85" i="5"/>
  <c r="AE205" i="5"/>
  <c r="AD205" i="5" s="1"/>
  <c r="Z95" i="5"/>
  <c r="AE391" i="5"/>
  <c r="AD217" i="5"/>
  <c r="X347" i="5"/>
  <c r="AD421" i="5"/>
  <c r="AJ424" i="5"/>
  <c r="AJ425" i="5"/>
  <c r="AD422" i="5"/>
  <c r="AE388" i="5"/>
  <c r="AE468" i="5"/>
  <c r="AE469" i="5" s="1"/>
  <c r="AB390" i="5"/>
  <c r="Z390" i="5" s="1"/>
  <c r="AD218" i="5"/>
  <c r="AB391" i="5"/>
  <c r="Z391" i="5" s="1"/>
  <c r="AD285" i="5"/>
  <c r="Z428" i="5"/>
  <c r="AF440" i="5"/>
  <c r="Z92" i="5"/>
  <c r="Z320" i="5"/>
  <c r="AN386" i="5"/>
  <c r="AN281" i="5"/>
  <c r="AJ290" i="5"/>
  <c r="AJ285" i="5"/>
  <c r="AN215" i="5"/>
  <c r="AJ218" i="5"/>
  <c r="AJ217" i="5"/>
  <c r="AE390" i="5"/>
  <c r="AJ293" i="5"/>
  <c r="AI294" i="5"/>
  <c r="AD294" i="5"/>
  <c r="AM355" i="5"/>
  <c r="AJ251" i="5"/>
  <c r="AF261" i="5"/>
  <c r="AI263" i="5"/>
  <c r="AI251" i="5"/>
  <c r="AD251" i="5"/>
  <c r="AE261" i="5"/>
  <c r="AI423" i="5"/>
  <c r="AD423" i="5"/>
  <c r="AF263" i="5"/>
  <c r="I246" i="5"/>
  <c r="AB243" i="5"/>
  <c r="AA14" i="5"/>
  <c r="AA19" i="5" s="1"/>
  <c r="AA269" i="5"/>
  <c r="AJ294" i="5"/>
  <c r="AM386" i="5"/>
  <c r="AH386" i="5"/>
  <c r="AE347" i="5"/>
  <c r="Z347" i="5"/>
  <c r="AA366" i="5"/>
  <c r="AI416" i="5"/>
  <c r="AE418" i="5"/>
  <c r="AI375" i="5"/>
  <c r="AE384" i="5"/>
  <c r="AI424" i="5"/>
  <c r="AD424" i="5"/>
  <c r="AD290" i="5"/>
  <c r="AN241" i="5"/>
  <c r="AM173" i="5"/>
  <c r="AI174" i="5"/>
  <c r="AH174" i="5" s="1"/>
  <c r="AI175" i="5"/>
  <c r="AH175" i="5" s="1"/>
  <c r="AF101" i="5"/>
  <c r="Z259" i="5"/>
  <c r="Z261" i="5" s="1"/>
  <c r="AI394" i="5"/>
  <c r="AD394" i="5"/>
  <c r="AM255" i="5"/>
  <c r="AL255" i="5" s="1"/>
  <c r="AH255" i="5"/>
  <c r="AF92" i="5"/>
  <c r="AA414" i="5"/>
  <c r="AE444" i="5"/>
  <c r="AM216" i="5"/>
  <c r="AL216" i="5" s="1"/>
  <c r="AH216" i="5"/>
  <c r="Z427" i="5"/>
  <c r="AE427" i="5"/>
  <c r="AE440" i="5" s="1"/>
  <c r="AF326" i="5"/>
  <c r="AB330" i="5"/>
  <c r="Z177" i="5"/>
  <c r="AE177" i="5"/>
  <c r="AF416" i="5"/>
  <c r="AD416" i="5" s="1"/>
  <c r="AD418" i="5" s="1"/>
  <c r="AB418" i="5"/>
  <c r="H246" i="5"/>
  <c r="AA243" i="5"/>
  <c r="AF375" i="5"/>
  <c r="AB384" i="5"/>
  <c r="Z178" i="5"/>
  <c r="AE178" i="5"/>
  <c r="AI445" i="5"/>
  <c r="AI443" i="5"/>
  <c r="AI422" i="5"/>
  <c r="AI421" i="5"/>
  <c r="AH420" i="5"/>
  <c r="AM420" i="5"/>
  <c r="AI297" i="5"/>
  <c r="AD297" i="5"/>
  <c r="AE98" i="5"/>
  <c r="AM215" i="5"/>
  <c r="AI217" i="5"/>
  <c r="AI218" i="5"/>
  <c r="AH215" i="5"/>
  <c r="AA448" i="5"/>
  <c r="Z416" i="5"/>
  <c r="Z418" i="5" s="1"/>
  <c r="AI235" i="5"/>
  <c r="AE239" i="5"/>
  <c r="Z375" i="5"/>
  <c r="Z384" i="5" s="1"/>
  <c r="AI299" i="5"/>
  <c r="AN420" i="5"/>
  <c r="AJ422" i="5"/>
  <c r="AJ421" i="5"/>
  <c r="AE320" i="5"/>
  <c r="AI290" i="5"/>
  <c r="AI285" i="5"/>
  <c r="AM281" i="5"/>
  <c r="AH281" i="5"/>
  <c r="Z199" i="5"/>
  <c r="AE199" i="5"/>
  <c r="AJ423" i="5"/>
  <c r="Z392" i="5"/>
  <c r="AE392" i="5"/>
  <c r="AI259" i="5"/>
  <c r="AD259" i="5"/>
  <c r="Z394" i="5"/>
  <c r="AJ297" i="5"/>
  <c r="AH241" i="5"/>
  <c r="AM241" i="5"/>
  <c r="AF95" i="5"/>
  <c r="AE442" i="5"/>
  <c r="AE104" i="5"/>
  <c r="AB14" i="5"/>
  <c r="AB269" i="5"/>
  <c r="AB279" i="5" s="1"/>
  <c r="AI293" i="5"/>
  <c r="AD293" i="5"/>
  <c r="AH342" i="5"/>
  <c r="AN342" i="5"/>
  <c r="AI387" i="5"/>
  <c r="AE95" i="5"/>
  <c r="AE92" i="5"/>
  <c r="AF235" i="5"/>
  <c r="AB239" i="5"/>
  <c r="AF299" i="5"/>
  <c r="AJ299" i="5" s="1"/>
  <c r="AN299" i="5" s="1"/>
  <c r="AB320" i="5"/>
  <c r="AA187" i="5"/>
  <c r="AI425" i="5"/>
  <c r="AD425" i="5"/>
  <c r="AI252" i="5"/>
  <c r="AD252" i="5"/>
  <c r="AI428" i="5"/>
  <c r="AD428" i="5"/>
  <c r="AF347" i="5"/>
  <c r="AB366" i="5"/>
  <c r="AM284" i="5"/>
  <c r="AL284" i="5" s="1"/>
  <c r="AH284" i="5"/>
  <c r="AF98" i="5"/>
  <c r="AB261" i="5"/>
  <c r="Z263" i="5"/>
  <c r="AA440" i="5"/>
  <c r="Z98" i="5"/>
  <c r="AF387" i="5"/>
  <c r="AF392" i="5" s="1"/>
  <c r="AB389" i="5"/>
  <c r="Z389" i="5" s="1"/>
  <c r="AB388" i="5"/>
  <c r="Z388" i="5" s="1"/>
  <c r="AE192" i="5"/>
  <c r="AD192" i="5" s="1"/>
  <c r="AI189" i="5"/>
  <c r="AI197" i="5" s="1"/>
  <c r="AH197" i="5" s="1"/>
  <c r="AD189" i="5"/>
  <c r="AE196" i="5"/>
  <c r="AD196" i="5" s="1"/>
  <c r="AH256" i="5"/>
  <c r="AM256" i="5"/>
  <c r="AL256" i="5" s="1"/>
  <c r="AI253" i="5"/>
  <c r="AD253" i="5"/>
  <c r="AE326" i="5"/>
  <c r="Z326" i="5"/>
  <c r="Z330" i="5" s="1"/>
  <c r="AA330" i="5"/>
  <c r="Z387" i="5"/>
  <c r="AB440" i="5"/>
  <c r="AH54" i="5"/>
  <c r="AM54" i="5"/>
  <c r="AL54" i="5" s="1"/>
  <c r="AH166" i="5"/>
  <c r="AM166" i="5"/>
  <c r="AL166" i="5" s="1"/>
  <c r="AM36" i="5"/>
  <c r="AL36" i="5" s="1"/>
  <c r="AH36" i="5"/>
  <c r="AM120" i="5"/>
  <c r="AL120" i="5" s="1"/>
  <c r="AH120" i="5"/>
  <c r="AH35" i="5"/>
  <c r="AM35" i="5"/>
  <c r="AL35" i="5" s="1"/>
  <c r="AM49" i="5"/>
  <c r="AM124" i="5"/>
  <c r="AL124" i="5" s="1"/>
  <c r="AH124" i="5"/>
  <c r="AM56" i="5"/>
  <c r="AI180" i="5"/>
  <c r="AM137" i="5"/>
  <c r="AL137" i="5" s="1"/>
  <c r="AH137" i="5"/>
  <c r="AH131" i="5"/>
  <c r="AM131" i="5"/>
  <c r="AL131" i="5" s="1"/>
  <c r="AH29" i="5"/>
  <c r="AM29" i="5"/>
  <c r="AL29" i="5" s="1"/>
  <c r="AM24" i="5"/>
  <c r="AL24" i="5" s="1"/>
  <c r="AH24" i="5"/>
  <c r="AH127" i="5"/>
  <c r="AM127" i="5"/>
  <c r="AL127" i="5" s="1"/>
  <c r="AM123" i="5"/>
  <c r="AL123" i="5" s="1"/>
  <c r="AH123" i="5"/>
  <c r="AM136" i="5"/>
  <c r="AL136" i="5" s="1"/>
  <c r="AH136" i="5"/>
  <c r="AM181" i="5"/>
  <c r="AL181" i="5" s="1"/>
  <c r="AH181" i="5"/>
  <c r="AM113" i="5"/>
  <c r="AL113" i="5" s="1"/>
  <c r="AH113" i="5"/>
  <c r="AH133" i="5"/>
  <c r="AM133" i="5"/>
  <c r="AL133" i="5" s="1"/>
  <c r="AE208" i="5"/>
  <c r="AH32" i="5"/>
  <c r="AM32" i="5"/>
  <c r="AL32" i="5" s="1"/>
  <c r="AH111" i="5"/>
  <c r="AM111" i="5"/>
  <c r="AL111" i="5" s="1"/>
  <c r="AH182" i="5"/>
  <c r="AM182" i="5"/>
  <c r="AL182" i="5" s="1"/>
  <c r="AM128" i="5"/>
  <c r="AL128" i="5" s="1"/>
  <c r="AH128" i="5"/>
  <c r="AH130" i="5"/>
  <c r="AM130" i="5"/>
  <c r="AL130" i="5" s="1"/>
  <c r="AH116" i="5"/>
  <c r="AM116" i="5"/>
  <c r="AL116" i="5" s="1"/>
  <c r="AI223" i="5"/>
  <c r="AE226" i="5"/>
  <c r="AH115" i="5"/>
  <c r="AM115" i="5"/>
  <c r="AL115" i="5" s="1"/>
  <c r="AM46" i="5"/>
  <c r="AL46" i="5" s="1"/>
  <c r="AH46" i="5"/>
  <c r="AM184" i="5"/>
  <c r="AL184" i="5" s="1"/>
  <c r="AH184" i="5"/>
  <c r="AM22" i="5"/>
  <c r="AL22" i="5" s="1"/>
  <c r="AH22" i="5"/>
  <c r="AH125" i="5"/>
  <c r="AM125" i="5"/>
  <c r="AL125" i="5" s="1"/>
  <c r="AM112" i="5"/>
  <c r="AL112" i="5" s="1"/>
  <c r="AH112" i="5"/>
  <c r="AM52" i="5"/>
  <c r="AM467" i="5" s="1"/>
  <c r="AM135" i="5"/>
  <c r="AL135" i="5" s="1"/>
  <c r="AH135" i="5"/>
  <c r="AF180" i="5"/>
  <c r="AB187" i="5"/>
  <c r="I226" i="5"/>
  <c r="AB223" i="5"/>
  <c r="I213" i="5"/>
  <c r="AB208" i="5"/>
  <c r="Z208" i="5" s="1"/>
  <c r="AH33" i="5"/>
  <c r="AM33" i="5"/>
  <c r="AL33" i="5" s="1"/>
  <c r="AJ165" i="5"/>
  <c r="AH132" i="5"/>
  <c r="AM132" i="5"/>
  <c r="AL132" i="5" s="1"/>
  <c r="AM126" i="5"/>
  <c r="AL126" i="5" s="1"/>
  <c r="AH126" i="5"/>
  <c r="AH121" i="5"/>
  <c r="AM121" i="5"/>
  <c r="AL121" i="5" s="1"/>
  <c r="AM53" i="5"/>
  <c r="AL53" i="5" s="1"/>
  <c r="AH53" i="5"/>
  <c r="AM138" i="5"/>
  <c r="AL138" i="5" s="1"/>
  <c r="AH138" i="5"/>
  <c r="AH129" i="5"/>
  <c r="AM129" i="5"/>
  <c r="AL129" i="5" s="1"/>
  <c r="AH183" i="5"/>
  <c r="AM183" i="5"/>
  <c r="AL183" i="5" s="1"/>
  <c r="H79" i="5"/>
  <c r="J22" i="5"/>
  <c r="M187" i="5"/>
  <c r="J391" i="5"/>
  <c r="L391" i="5"/>
  <c r="L414" i="5" s="1"/>
  <c r="G187" i="5"/>
  <c r="H187" i="5"/>
  <c r="H332" i="5"/>
  <c r="G366" i="5"/>
  <c r="L261" i="5"/>
  <c r="G320" i="5"/>
  <c r="V326" i="5"/>
  <c r="V330" i="5" s="1"/>
  <c r="I330" i="5"/>
  <c r="Q98" i="6"/>
  <c r="J116" i="5"/>
  <c r="I384" i="5"/>
  <c r="J383" i="5"/>
  <c r="I261" i="5"/>
  <c r="J178" i="5"/>
  <c r="L339" i="5"/>
  <c r="J340" i="5"/>
  <c r="L177" i="5"/>
  <c r="J421" i="5"/>
  <c r="L174" i="5"/>
  <c r="L96" i="5"/>
  <c r="J92" i="5"/>
  <c r="J101" i="5"/>
  <c r="Q352" i="5"/>
  <c r="X352" i="5" s="1"/>
  <c r="Q353" i="5"/>
  <c r="X353" i="5" s="1"/>
  <c r="Q351" i="5"/>
  <c r="X351" i="5" s="1"/>
  <c r="Q350" i="5"/>
  <c r="X350" i="5" s="1"/>
  <c r="J261" i="5"/>
  <c r="J262" i="5" s="1"/>
  <c r="J246" i="5"/>
  <c r="J245" i="5" s="1"/>
  <c r="Q349" i="5"/>
  <c r="X349" i="5" s="1"/>
  <c r="M271" i="5"/>
  <c r="M279" i="5" s="1"/>
  <c r="J226" i="5"/>
  <c r="J227" i="5" s="1"/>
  <c r="J271" i="5"/>
  <c r="Q348" i="5"/>
  <c r="X348" i="5" s="1"/>
  <c r="J239" i="5"/>
  <c r="J238" i="5" s="1"/>
  <c r="Q354" i="5"/>
  <c r="X354" i="5" s="1"/>
  <c r="Q356" i="5"/>
  <c r="X356" i="5" s="1"/>
  <c r="L421" i="5"/>
  <c r="L440" i="5" s="1"/>
  <c r="G440" i="5"/>
  <c r="Q165" i="1"/>
  <c r="Q155" i="1" s="1"/>
  <c r="G19" i="5"/>
  <c r="L92" i="5"/>
  <c r="X402" i="5"/>
  <c r="Q339" i="5"/>
  <c r="X339" i="5" s="1"/>
  <c r="W340" i="5"/>
  <c r="W366" i="5" s="1"/>
  <c r="X401" i="5"/>
  <c r="Q416" i="5"/>
  <c r="Q418" i="5" s="1"/>
  <c r="X403" i="5"/>
  <c r="M239" i="5"/>
  <c r="H440" i="5"/>
  <c r="M327" i="5"/>
  <c r="Q414" i="5"/>
  <c r="H366" i="5"/>
  <c r="X397" i="5"/>
  <c r="J339" i="5"/>
  <c r="I239" i="5"/>
  <c r="H320" i="5"/>
  <c r="I279" i="5"/>
  <c r="J174" i="5"/>
  <c r="X428" i="5"/>
  <c r="I320" i="5"/>
  <c r="H279" i="5"/>
  <c r="R11" i="8"/>
  <c r="W427" i="5"/>
  <c r="I440" i="5"/>
  <c r="W414" i="5"/>
  <c r="J304" i="5"/>
  <c r="M304" i="5"/>
  <c r="M320" i="5" s="1"/>
  <c r="X398" i="5"/>
  <c r="L178" i="5"/>
  <c r="J177" i="5"/>
  <c r="X400" i="5"/>
  <c r="M394" i="5"/>
  <c r="J394" i="5"/>
  <c r="R12" i="8"/>
  <c r="J395" i="5"/>
  <c r="M395" i="5"/>
  <c r="W416" i="5"/>
  <c r="W418" i="5" s="1"/>
  <c r="I418" i="5"/>
  <c r="Q440" i="5"/>
  <c r="L340" i="5"/>
  <c r="I366" i="5"/>
  <c r="L175" i="5"/>
  <c r="J96" i="5"/>
  <c r="J175" i="5"/>
  <c r="L101" i="5"/>
  <c r="X338" i="5"/>
  <c r="J290" i="5"/>
  <c r="L290" i="5"/>
  <c r="Q118" i="1"/>
  <c r="Q105" i="1" s="1"/>
  <c r="L285" i="5"/>
  <c r="J285" i="5"/>
  <c r="J297" i="5"/>
  <c r="L297" i="5"/>
  <c r="L294" i="5"/>
  <c r="J294" i="5"/>
  <c r="AM158" i="5" l="1"/>
  <c r="AJ158" i="5"/>
  <c r="L195" i="5"/>
  <c r="L213" i="5" s="1"/>
  <c r="AN357" i="5"/>
  <c r="AL357" i="5" s="1"/>
  <c r="AH357" i="5"/>
  <c r="J201" i="5"/>
  <c r="R61" i="8"/>
  <c r="Z59" i="5"/>
  <c r="Z57" i="5"/>
  <c r="T79" i="5"/>
  <c r="T453" i="5" s="1"/>
  <c r="AI176" i="5"/>
  <c r="AM176" i="5" s="1"/>
  <c r="AL176" i="5" s="1"/>
  <c r="AM161" i="5"/>
  <c r="AJ161" i="5"/>
  <c r="AM160" i="5"/>
  <c r="AJ160" i="5"/>
  <c r="AN150" i="5"/>
  <c r="AN156" i="5" s="1"/>
  <c r="AL156" i="5" s="1"/>
  <c r="AJ154" i="5"/>
  <c r="AH154" i="5" s="1"/>
  <c r="AH150" i="5"/>
  <c r="AN292" i="5"/>
  <c r="AH292" i="5"/>
  <c r="AM119" i="5"/>
  <c r="AL119" i="5" s="1"/>
  <c r="AH119" i="5"/>
  <c r="AH289" i="5"/>
  <c r="AH286" i="5"/>
  <c r="AM292" i="5"/>
  <c r="AM295" i="5"/>
  <c r="AH295" i="5"/>
  <c r="AN295" i="5"/>
  <c r="AM289" i="5"/>
  <c r="AN286" i="5"/>
  <c r="AN289" i="5"/>
  <c r="AM286" i="5"/>
  <c r="Z104" i="5"/>
  <c r="J95" i="5"/>
  <c r="AF467" i="5"/>
  <c r="AJ52" i="5"/>
  <c r="AD52" i="5"/>
  <c r="AD467" i="5" s="1"/>
  <c r="AF445" i="5"/>
  <c r="AF443" i="5"/>
  <c r="AB444" i="5"/>
  <c r="Z444" i="5" s="1"/>
  <c r="Z445" i="5"/>
  <c r="AB468" i="5"/>
  <c r="AB469" i="5" s="1"/>
  <c r="Z443" i="5"/>
  <c r="AB442" i="5"/>
  <c r="AJ49" i="5"/>
  <c r="AD49" i="5"/>
  <c r="AE101" i="5"/>
  <c r="AI101" i="5" s="1"/>
  <c r="AD102" i="5"/>
  <c r="Z101" i="5"/>
  <c r="Y98" i="6"/>
  <c r="Z366" i="5"/>
  <c r="AJ355" i="5"/>
  <c r="AD355" i="5"/>
  <c r="AJ59" i="5"/>
  <c r="AD59" i="5"/>
  <c r="AJ55" i="5"/>
  <c r="AD55" i="5"/>
  <c r="AJ57" i="5"/>
  <c r="AD57" i="5"/>
  <c r="AJ56" i="5"/>
  <c r="AD56" i="5"/>
  <c r="AI118" i="5"/>
  <c r="AD118" i="5"/>
  <c r="AN291" i="5"/>
  <c r="AH291" i="5"/>
  <c r="AH97" i="5"/>
  <c r="AM97" i="5"/>
  <c r="AL97" i="5" s="1"/>
  <c r="AI206" i="5"/>
  <c r="AD206" i="5"/>
  <c r="AI203" i="5"/>
  <c r="AD203" i="5"/>
  <c r="AI200" i="5"/>
  <c r="AD200" i="5"/>
  <c r="AI198" i="5"/>
  <c r="AH198" i="5" s="1"/>
  <c r="AI194" i="5"/>
  <c r="AH194" i="5" s="1"/>
  <c r="AI105" i="5"/>
  <c r="AD105" i="5"/>
  <c r="J104" i="5"/>
  <c r="L104" i="5"/>
  <c r="L148" i="5" s="1"/>
  <c r="AM298" i="5"/>
  <c r="AH298" i="5"/>
  <c r="AN298" i="5"/>
  <c r="AM296" i="5"/>
  <c r="AH296" i="5"/>
  <c r="AN296" i="5"/>
  <c r="AM291" i="5"/>
  <c r="AH287" i="5"/>
  <c r="AH288" i="5"/>
  <c r="AM288" i="5"/>
  <c r="AN287" i="5"/>
  <c r="AN288" i="5"/>
  <c r="AM287" i="5"/>
  <c r="AN202" i="5"/>
  <c r="AI204" i="5"/>
  <c r="AD204" i="5"/>
  <c r="AI201" i="5"/>
  <c r="AD201" i="5"/>
  <c r="AI193" i="5"/>
  <c r="AH193" i="5" s="1"/>
  <c r="AI195" i="5"/>
  <c r="AH195" i="5" s="1"/>
  <c r="AI202" i="5"/>
  <c r="AH202" i="5" s="1"/>
  <c r="AM102" i="5"/>
  <c r="AL102" i="5" s="1"/>
  <c r="AH102" i="5"/>
  <c r="AM106" i="5"/>
  <c r="AL106" i="5" s="1"/>
  <c r="AH106" i="5"/>
  <c r="AM96" i="5"/>
  <c r="AL96" i="5" s="1"/>
  <c r="AH96" i="5"/>
  <c r="AI391" i="5"/>
  <c r="Z440" i="5"/>
  <c r="AE187" i="5"/>
  <c r="AN293" i="5"/>
  <c r="AN424" i="5"/>
  <c r="Z187" i="5"/>
  <c r="AI205" i="5"/>
  <c r="AH205" i="5" s="1"/>
  <c r="AA20" i="5"/>
  <c r="AE13" i="5" s="1"/>
  <c r="AN297" i="5"/>
  <c r="AN294" i="5"/>
  <c r="AH285" i="5"/>
  <c r="AE414" i="5"/>
  <c r="AJ95" i="5"/>
  <c r="AH217" i="5"/>
  <c r="AI468" i="5"/>
  <c r="AI469" i="5" s="1"/>
  <c r="AD92" i="5"/>
  <c r="AJ440" i="5"/>
  <c r="AB414" i="5"/>
  <c r="AJ98" i="5"/>
  <c r="AN98" i="5" s="1"/>
  <c r="AF390" i="5"/>
  <c r="AD390" i="5" s="1"/>
  <c r="AN423" i="5"/>
  <c r="AJ92" i="5"/>
  <c r="AJ101" i="5"/>
  <c r="AN101" i="5" s="1"/>
  <c r="AF391" i="5"/>
  <c r="AD391" i="5" s="1"/>
  <c r="AJ104" i="5"/>
  <c r="AN104" i="5" s="1"/>
  <c r="AJ320" i="5"/>
  <c r="AD299" i="5"/>
  <c r="AD320" i="5" s="1"/>
  <c r="AD104" i="5"/>
  <c r="AI104" i="5"/>
  <c r="AM259" i="5"/>
  <c r="AL259" i="5" s="1"/>
  <c r="AH259" i="5"/>
  <c r="AD199" i="5"/>
  <c r="AI199" i="5"/>
  <c r="AL281" i="5"/>
  <c r="AM290" i="5"/>
  <c r="AM285" i="5"/>
  <c r="AD98" i="5"/>
  <c r="AI98" i="5"/>
  <c r="AH394" i="5"/>
  <c r="AM394" i="5"/>
  <c r="AL394" i="5" s="1"/>
  <c r="AM375" i="5"/>
  <c r="AI384" i="5"/>
  <c r="AM423" i="5"/>
  <c r="AH423" i="5"/>
  <c r="AD261" i="5"/>
  <c r="AM428" i="5"/>
  <c r="AL428" i="5" s="1"/>
  <c r="AH428" i="5"/>
  <c r="AJ235" i="5"/>
  <c r="AH235" i="5" s="1"/>
  <c r="AH239" i="5" s="1"/>
  <c r="AF239" i="5"/>
  <c r="AJ347" i="5"/>
  <c r="AF366" i="5"/>
  <c r="AI95" i="5"/>
  <c r="AI92" i="5"/>
  <c r="AM293" i="5"/>
  <c r="AH293" i="5"/>
  <c r="AB20" i="5"/>
  <c r="AB19" i="5"/>
  <c r="Z19" i="5" s="1"/>
  <c r="AI392" i="5"/>
  <c r="AD392" i="5"/>
  <c r="AM299" i="5"/>
  <c r="AL299" i="5" s="1"/>
  <c r="AH299" i="5"/>
  <c r="AM235" i="5"/>
  <c r="AI239" i="5"/>
  <c r="AH218" i="5"/>
  <c r="AI442" i="5"/>
  <c r="AM424" i="5"/>
  <c r="AH424" i="5"/>
  <c r="AL386" i="5"/>
  <c r="AF320" i="5"/>
  <c r="Z269" i="5"/>
  <c r="Z279" i="5" s="1"/>
  <c r="AA279" i="5"/>
  <c r="AM251" i="5"/>
  <c r="AH251" i="5"/>
  <c r="AI261" i="5"/>
  <c r="AN251" i="5"/>
  <c r="AN261" i="5" s="1"/>
  <c r="AJ261" i="5"/>
  <c r="AI390" i="5"/>
  <c r="AN217" i="5"/>
  <c r="AN218" i="5"/>
  <c r="AN290" i="5"/>
  <c r="AN285" i="5"/>
  <c r="AM387" i="5"/>
  <c r="Z414" i="5"/>
  <c r="AI326" i="5"/>
  <c r="AD326" i="5"/>
  <c r="AD330" i="5" s="1"/>
  <c r="AE330" i="5"/>
  <c r="AI196" i="5"/>
  <c r="AH196" i="5" s="1"/>
  <c r="AI192" i="5"/>
  <c r="AH192" i="5" s="1"/>
  <c r="AM189" i="5"/>
  <c r="AM197" i="5" s="1"/>
  <c r="AL197" i="5" s="1"/>
  <c r="AH189" i="5"/>
  <c r="Z332" i="5"/>
  <c r="AM252" i="5"/>
  <c r="AL252" i="5" s="1"/>
  <c r="AH252" i="5"/>
  <c r="AD95" i="5"/>
  <c r="AL342" i="5"/>
  <c r="AE448" i="5"/>
  <c r="AL241" i="5"/>
  <c r="AI320" i="5"/>
  <c r="AH290" i="5"/>
  <c r="AM297" i="5"/>
  <c r="AH297" i="5"/>
  <c r="AH421" i="5"/>
  <c r="AI444" i="5"/>
  <c r="AF384" i="5"/>
  <c r="AJ375" i="5"/>
  <c r="AH375" i="5" s="1"/>
  <c r="AH384" i="5" s="1"/>
  <c r="AF418" i="5"/>
  <c r="AJ416" i="5"/>
  <c r="AH416" i="5" s="1"/>
  <c r="AH418" i="5" s="1"/>
  <c r="AJ326" i="5"/>
  <c r="AF330" i="5"/>
  <c r="AM174" i="5"/>
  <c r="AL174" i="5" s="1"/>
  <c r="AM175" i="5"/>
  <c r="AL175" i="5" s="1"/>
  <c r="AD375" i="5"/>
  <c r="AD384" i="5" s="1"/>
  <c r="AI347" i="5"/>
  <c r="AD347" i="5"/>
  <c r="AE366" i="5"/>
  <c r="AI388" i="5"/>
  <c r="AJ263" i="5"/>
  <c r="AH263" i="5" s="1"/>
  <c r="AN425" i="5"/>
  <c r="AM263" i="5"/>
  <c r="AM294" i="5"/>
  <c r="AH294" i="5"/>
  <c r="AM253" i="5"/>
  <c r="AL253" i="5" s="1"/>
  <c r="AH253" i="5"/>
  <c r="AM445" i="5"/>
  <c r="AM443" i="5"/>
  <c r="AN95" i="5"/>
  <c r="AN92" i="5"/>
  <c r="AJ387" i="5"/>
  <c r="AF389" i="5"/>
  <c r="AD389" i="5" s="1"/>
  <c r="AF388" i="5"/>
  <c r="AD388" i="5" s="1"/>
  <c r="AM425" i="5"/>
  <c r="AH425" i="5"/>
  <c r="AD387" i="5"/>
  <c r="AN422" i="5"/>
  <c r="AN421" i="5"/>
  <c r="AD235" i="5"/>
  <c r="AD239" i="5" s="1"/>
  <c r="AL215" i="5"/>
  <c r="AM218" i="5"/>
  <c r="AM217" i="5"/>
  <c r="AL420" i="5"/>
  <c r="AM422" i="5"/>
  <c r="AM421" i="5"/>
  <c r="AH422" i="5"/>
  <c r="AI178" i="5"/>
  <c r="AD178" i="5"/>
  <c r="AE243" i="5"/>
  <c r="Z243" i="5"/>
  <c r="Z246" i="5" s="1"/>
  <c r="AA246" i="5"/>
  <c r="AI177" i="5"/>
  <c r="AD177" i="5"/>
  <c r="AI427" i="5"/>
  <c r="AD427" i="5"/>
  <c r="AD440" i="5" s="1"/>
  <c r="AM416" i="5"/>
  <c r="AI418" i="5"/>
  <c r="AI389" i="5"/>
  <c r="AF243" i="5"/>
  <c r="AB246" i="5"/>
  <c r="AD263" i="5"/>
  <c r="AF223" i="5"/>
  <c r="AB226" i="5"/>
  <c r="Z223" i="5"/>
  <c r="Z226" i="5" s="1"/>
  <c r="AJ180" i="5"/>
  <c r="AH180" i="5" s="1"/>
  <c r="AF187" i="5"/>
  <c r="AI208" i="5"/>
  <c r="AN165" i="5"/>
  <c r="AF208" i="5"/>
  <c r="AD208" i="5" s="1"/>
  <c r="AB213" i="5"/>
  <c r="AD180" i="5"/>
  <c r="AM223" i="5"/>
  <c r="AI226" i="5"/>
  <c r="AM180" i="5"/>
  <c r="V98" i="6"/>
  <c r="G333" i="5"/>
  <c r="J333" i="5" s="1"/>
  <c r="J19" i="5"/>
  <c r="U97" i="6"/>
  <c r="L187" i="5"/>
  <c r="T97" i="6"/>
  <c r="V97" i="6"/>
  <c r="G332" i="5"/>
  <c r="L320" i="5"/>
  <c r="G330" i="5"/>
  <c r="H333" i="5"/>
  <c r="H336" i="5" s="1"/>
  <c r="T98" i="6"/>
  <c r="U98" i="6"/>
  <c r="J260" i="5"/>
  <c r="L366" i="5"/>
  <c r="J247" i="5"/>
  <c r="J240" i="5"/>
  <c r="J225" i="5"/>
  <c r="J279" i="5"/>
  <c r="J187" i="5"/>
  <c r="J186" i="5" s="1"/>
  <c r="J440" i="5"/>
  <c r="J439" i="5" s="1"/>
  <c r="J320" i="5"/>
  <c r="J321" i="5" s="1"/>
  <c r="I336" i="5"/>
  <c r="Q366" i="5"/>
  <c r="Q451" i="5" s="1"/>
  <c r="Q453" i="5" s="1"/>
  <c r="X340" i="5"/>
  <c r="X366" i="5" s="1"/>
  <c r="J327" i="5"/>
  <c r="X414" i="5"/>
  <c r="J326" i="5"/>
  <c r="M326" i="5"/>
  <c r="M330" i="5" s="1"/>
  <c r="X427" i="5"/>
  <c r="X440" i="5" s="1"/>
  <c r="W440" i="5"/>
  <c r="W451" i="5" s="1"/>
  <c r="X416" i="5"/>
  <c r="X418" i="5" s="1"/>
  <c r="Q166" i="1"/>
  <c r="P332" i="5"/>
  <c r="P336" i="5" s="1"/>
  <c r="AN158" i="5" l="1"/>
  <c r="AL158" i="5" s="1"/>
  <c r="AH158" i="5"/>
  <c r="AM391" i="5"/>
  <c r="AH176" i="5"/>
  <c r="AN161" i="5"/>
  <c r="AL161" i="5" s="1"/>
  <c r="AH161" i="5"/>
  <c r="AN160" i="5"/>
  <c r="AL160" i="5" s="1"/>
  <c r="AH160" i="5"/>
  <c r="AN154" i="5"/>
  <c r="AL154" i="5" s="1"/>
  <c r="AL150" i="5"/>
  <c r="AL292" i="5"/>
  <c r="AL295" i="5"/>
  <c r="AD101" i="5"/>
  <c r="AL286" i="5"/>
  <c r="AL289" i="5"/>
  <c r="Z468" i="5"/>
  <c r="Z469" i="5" s="1"/>
  <c r="AJ467" i="5"/>
  <c r="AN52" i="5"/>
  <c r="AH52" i="5"/>
  <c r="AH467" i="5" s="1"/>
  <c r="AJ443" i="5"/>
  <c r="AJ445" i="5"/>
  <c r="AB448" i="5"/>
  <c r="Z442" i="5"/>
  <c r="Z448" i="5" s="1"/>
  <c r="AF444" i="5"/>
  <c r="AD444" i="5" s="1"/>
  <c r="AD445" i="5"/>
  <c r="AN49" i="5"/>
  <c r="AL49" i="5" s="1"/>
  <c r="AH49" i="5"/>
  <c r="AF468" i="5"/>
  <c r="AF469" i="5" s="1"/>
  <c r="AF442" i="5"/>
  <c r="AD443" i="5"/>
  <c r="AD366" i="5"/>
  <c r="AN355" i="5"/>
  <c r="AL355" i="5" s="1"/>
  <c r="AH355" i="5"/>
  <c r="AN57" i="5"/>
  <c r="AL57" i="5" s="1"/>
  <c r="AH57" i="5"/>
  <c r="AN55" i="5"/>
  <c r="AL55" i="5" s="1"/>
  <c r="AH55" i="5"/>
  <c r="AN56" i="5"/>
  <c r="AL56" i="5" s="1"/>
  <c r="AH56" i="5"/>
  <c r="AN59" i="5"/>
  <c r="AL59" i="5" s="1"/>
  <c r="AH59" i="5"/>
  <c r="AL291" i="5"/>
  <c r="AH118" i="5"/>
  <c r="AM118" i="5"/>
  <c r="AL118" i="5" s="1"/>
  <c r="AM206" i="5"/>
  <c r="AL206" i="5" s="1"/>
  <c r="AH206" i="5"/>
  <c r="AM203" i="5"/>
  <c r="AL203" i="5" s="1"/>
  <c r="AH203" i="5"/>
  <c r="AM200" i="5"/>
  <c r="AL200" i="5" s="1"/>
  <c r="AH200" i="5"/>
  <c r="AM198" i="5"/>
  <c r="AL198" i="5" s="1"/>
  <c r="AM194" i="5"/>
  <c r="AL194" i="5" s="1"/>
  <c r="AM105" i="5"/>
  <c r="AL105" i="5" s="1"/>
  <c r="AH105" i="5"/>
  <c r="AL298" i="5"/>
  <c r="AL287" i="5"/>
  <c r="AL296" i="5"/>
  <c r="AL288" i="5"/>
  <c r="AM204" i="5"/>
  <c r="AL204" i="5" s="1"/>
  <c r="AH204" i="5"/>
  <c r="AM201" i="5"/>
  <c r="AL201" i="5" s="1"/>
  <c r="AH201" i="5"/>
  <c r="AM193" i="5"/>
  <c r="AL193" i="5" s="1"/>
  <c r="AM195" i="5"/>
  <c r="AL195" i="5" s="1"/>
  <c r="AL217" i="5"/>
  <c r="AL424" i="5"/>
  <c r="Z20" i="5"/>
  <c r="Z79" i="5" s="1"/>
  <c r="AL293" i="5"/>
  <c r="AI187" i="5"/>
  <c r="AM205" i="5"/>
  <c r="AL205" i="5" s="1"/>
  <c r="AL294" i="5"/>
  <c r="AH101" i="5"/>
  <c r="AL297" i="5"/>
  <c r="AA79" i="5"/>
  <c r="AD187" i="5"/>
  <c r="AN440" i="5"/>
  <c r="AL423" i="5"/>
  <c r="AI414" i="5"/>
  <c r="AH95" i="5"/>
  <c r="AJ390" i="5"/>
  <c r="AH390" i="5" s="1"/>
  <c r="AH92" i="5"/>
  <c r="AM468" i="5"/>
  <c r="AM469" i="5" s="1"/>
  <c r="AN320" i="5"/>
  <c r="AL425" i="5"/>
  <c r="AH261" i="5"/>
  <c r="AL421" i="5"/>
  <c r="AL218" i="5"/>
  <c r="AL422" i="5"/>
  <c r="AM326" i="5"/>
  <c r="AH326" i="5"/>
  <c r="AH330" i="5" s="1"/>
  <c r="AI330" i="5"/>
  <c r="AM390" i="5"/>
  <c r="AJ243" i="5"/>
  <c r="AF246" i="5"/>
  <c r="AH427" i="5"/>
  <c r="AH440" i="5" s="1"/>
  <c r="AM427" i="5"/>
  <c r="AL427" i="5" s="1"/>
  <c r="AI440" i="5"/>
  <c r="AN387" i="5"/>
  <c r="AL387" i="5" s="1"/>
  <c r="AJ388" i="5"/>
  <c r="AH388" i="5" s="1"/>
  <c r="AJ389" i="5"/>
  <c r="AH389" i="5" s="1"/>
  <c r="AM442" i="5"/>
  <c r="AN375" i="5"/>
  <c r="AN384" i="5" s="1"/>
  <c r="AJ384" i="5"/>
  <c r="AL251" i="5"/>
  <c r="AL261" i="5" s="1"/>
  <c r="AM261" i="5"/>
  <c r="AF13" i="5"/>
  <c r="AB79" i="5"/>
  <c r="AL285" i="5"/>
  <c r="AH104" i="5"/>
  <c r="AM104" i="5"/>
  <c r="AL104" i="5" s="1"/>
  <c r="AM202" i="5"/>
  <c r="AL202" i="5" s="1"/>
  <c r="AM178" i="5"/>
  <c r="AL178" i="5" s="1"/>
  <c r="AH178" i="5"/>
  <c r="AH98" i="5"/>
  <c r="AM98" i="5"/>
  <c r="AL98" i="5" s="1"/>
  <c r="AH199" i="5"/>
  <c r="AM199" i="5"/>
  <c r="AL199" i="5" s="1"/>
  <c r="AI243" i="5"/>
  <c r="AD243" i="5"/>
  <c r="AD246" i="5" s="1"/>
  <c r="AE246" i="5"/>
  <c r="AF414" i="5"/>
  <c r="AM444" i="5"/>
  <c r="AN326" i="5"/>
  <c r="AN330" i="5" s="1"/>
  <c r="AJ330" i="5"/>
  <c r="AH320" i="5"/>
  <c r="AH387" i="5"/>
  <c r="AM101" i="5"/>
  <c r="AL101" i="5" s="1"/>
  <c r="AM388" i="5"/>
  <c r="AM239" i="5"/>
  <c r="AN235" i="5"/>
  <c r="AN239" i="5" s="1"/>
  <c r="AJ239" i="5"/>
  <c r="AL290" i="5"/>
  <c r="AN263" i="5"/>
  <c r="AI448" i="5"/>
  <c r="AM92" i="5"/>
  <c r="AL92" i="5" s="1"/>
  <c r="AM95" i="5"/>
  <c r="AL95" i="5" s="1"/>
  <c r="AM320" i="5"/>
  <c r="AM418" i="5"/>
  <c r="AM177" i="5"/>
  <c r="AL177" i="5" s="1"/>
  <c r="AH177" i="5"/>
  <c r="AD414" i="5"/>
  <c r="AH347" i="5"/>
  <c r="AM347" i="5"/>
  <c r="AI366" i="5"/>
  <c r="AN416" i="5"/>
  <c r="AN418" i="5" s="1"/>
  <c r="AJ418" i="5"/>
  <c r="AM196" i="5"/>
  <c r="AL196" i="5" s="1"/>
  <c r="AL189" i="5"/>
  <c r="AM192" i="5"/>
  <c r="AL192" i="5" s="1"/>
  <c r="AM389" i="5"/>
  <c r="AM392" i="5"/>
  <c r="AN347" i="5"/>
  <c r="AJ366" i="5"/>
  <c r="AJ391" i="5"/>
  <c r="AM384" i="5"/>
  <c r="AJ392" i="5"/>
  <c r="AE15" i="5"/>
  <c r="AE332" i="5" s="1"/>
  <c r="AM226" i="5"/>
  <c r="AJ208" i="5"/>
  <c r="AH208" i="5" s="1"/>
  <c r="AF213" i="5"/>
  <c r="AJ223" i="5"/>
  <c r="AF226" i="5"/>
  <c r="AD223" i="5"/>
  <c r="AD226" i="5" s="1"/>
  <c r="AM208" i="5"/>
  <c r="AN180" i="5"/>
  <c r="AN187" i="5" s="1"/>
  <c r="AJ187" i="5"/>
  <c r="M333" i="5"/>
  <c r="J319" i="5"/>
  <c r="J330" i="5"/>
  <c r="J329" i="5" s="1"/>
  <c r="J441" i="5"/>
  <c r="J280" i="5"/>
  <c r="J278" i="5"/>
  <c r="L451" i="5"/>
  <c r="P451" i="5"/>
  <c r="P453" i="5" s="1"/>
  <c r="X451" i="5"/>
  <c r="G336" i="5"/>
  <c r="M332" i="5"/>
  <c r="J332" i="5"/>
  <c r="AD468" i="5" l="1"/>
  <c r="AD469" i="5" s="1"/>
  <c r="AN467" i="5"/>
  <c r="AL52" i="5"/>
  <c r="AL467" i="5" s="1"/>
  <c r="AN445" i="5"/>
  <c r="AN443" i="5"/>
  <c r="AF448" i="5"/>
  <c r="AD442" i="5"/>
  <c r="AD448" i="5" s="1"/>
  <c r="AJ444" i="5"/>
  <c r="AH444" i="5" s="1"/>
  <c r="AH445" i="5"/>
  <c r="AJ442" i="5"/>
  <c r="AJ468" i="5"/>
  <c r="AJ469" i="5" s="1"/>
  <c r="AH443" i="5"/>
  <c r="AN366" i="5"/>
  <c r="AH366" i="5"/>
  <c r="AM440" i="5"/>
  <c r="AH187" i="5"/>
  <c r="AN390" i="5"/>
  <c r="AL390" i="5" s="1"/>
  <c r="AN392" i="5"/>
  <c r="AL392" i="5" s="1"/>
  <c r="AL320" i="5"/>
  <c r="AL440" i="5"/>
  <c r="AJ414" i="5"/>
  <c r="AN243" i="5"/>
  <c r="AN246" i="5" s="1"/>
  <c r="AJ246" i="5"/>
  <c r="AL326" i="5"/>
  <c r="AL330" i="5" s="1"/>
  <c r="AM330" i="5"/>
  <c r="AN391" i="5"/>
  <c r="AL391" i="5" s="1"/>
  <c r="AH391" i="5"/>
  <c r="AL235" i="5"/>
  <c r="AL239" i="5" s="1"/>
  <c r="AH243" i="5"/>
  <c r="AH246" i="5" s="1"/>
  <c r="AM243" i="5"/>
  <c r="AI246" i="5"/>
  <c r="AF15" i="5"/>
  <c r="AF269" i="5" s="1"/>
  <c r="AF279" i="5" s="1"/>
  <c r="AL416" i="5"/>
  <c r="AL418" i="5" s="1"/>
  <c r="AM414" i="5"/>
  <c r="AM448" i="5"/>
  <c r="AN388" i="5"/>
  <c r="AL388" i="5" s="1"/>
  <c r="AN389" i="5"/>
  <c r="AH392" i="5"/>
  <c r="AM187" i="5"/>
  <c r="AE14" i="5"/>
  <c r="AE19" i="5" s="1"/>
  <c r="AE269" i="5"/>
  <c r="AL375" i="5"/>
  <c r="AL384" i="5" s="1"/>
  <c r="AL347" i="5"/>
  <c r="AL366" i="5" s="1"/>
  <c r="AM366" i="5"/>
  <c r="AL263" i="5"/>
  <c r="AN208" i="5"/>
  <c r="AN213" i="5" s="1"/>
  <c r="AJ213" i="5"/>
  <c r="AL180" i="5"/>
  <c r="AL187" i="5" s="1"/>
  <c r="AN223" i="5"/>
  <c r="AJ226" i="5"/>
  <c r="AH223" i="5"/>
  <c r="AH226" i="5" s="1"/>
  <c r="M336" i="5"/>
  <c r="J331" i="5"/>
  <c r="J336" i="5"/>
  <c r="AH468" i="5" l="1"/>
  <c r="AH469" i="5" s="1"/>
  <c r="AN444" i="5"/>
  <c r="AL444" i="5" s="1"/>
  <c r="AL445" i="5"/>
  <c r="AJ448" i="5"/>
  <c r="AH442" i="5"/>
  <c r="AH448" i="5" s="1"/>
  <c r="AN468" i="5"/>
  <c r="AN469" i="5" s="1"/>
  <c r="AL443" i="5"/>
  <c r="AL468" i="5" s="1"/>
  <c r="AL469" i="5" s="1"/>
  <c r="AN442" i="5"/>
  <c r="AF332" i="5"/>
  <c r="AE20" i="5"/>
  <c r="AI13" i="5" s="1"/>
  <c r="AN414" i="5"/>
  <c r="AL389" i="5"/>
  <c r="AL414" i="5" s="1"/>
  <c r="AH414" i="5"/>
  <c r="AL208" i="5"/>
  <c r="AL243" i="5"/>
  <c r="AL246" i="5" s="1"/>
  <c r="AM246" i="5"/>
  <c r="AD269" i="5"/>
  <c r="AD279" i="5" s="1"/>
  <c r="AE279" i="5"/>
  <c r="AF14" i="5"/>
  <c r="AN226" i="5"/>
  <c r="AL223" i="5"/>
  <c r="AL226" i="5" s="1"/>
  <c r="J335" i="5"/>
  <c r="J337" i="5"/>
  <c r="AN448" i="5" l="1"/>
  <c r="AL442" i="5"/>
  <c r="AL448" i="5" s="1"/>
  <c r="AE79" i="5"/>
  <c r="AF20" i="5"/>
  <c r="AD20" i="5" s="1"/>
  <c r="AF19" i="5"/>
  <c r="AD332" i="5"/>
  <c r="AI15" i="5"/>
  <c r="AI332" i="5" s="1"/>
  <c r="H165" i="5"/>
  <c r="AJ13" i="5" l="1"/>
  <c r="AF79" i="5"/>
  <c r="AD19" i="5"/>
  <c r="AD79" i="5" s="1"/>
  <c r="AI14" i="5"/>
  <c r="AI20" i="5" s="1"/>
  <c r="AI269" i="5"/>
  <c r="H169" i="5"/>
  <c r="AA165" i="5"/>
  <c r="G165" i="5"/>
  <c r="G169" i="5" s="1"/>
  <c r="AI19" i="5" l="1"/>
  <c r="AM13" i="5" s="1"/>
  <c r="AI279" i="5"/>
  <c r="AJ15" i="5"/>
  <c r="AJ332" i="5" s="1"/>
  <c r="Z165" i="5"/>
  <c r="AE165" i="5"/>
  <c r="J165" i="5"/>
  <c r="M165" i="5"/>
  <c r="M169" i="5" s="1"/>
  <c r="AI79" i="5" l="1"/>
  <c r="AH332" i="5"/>
  <c r="AJ14" i="5"/>
  <c r="AJ269" i="5"/>
  <c r="AI165" i="5"/>
  <c r="AD165" i="5"/>
  <c r="AM15" i="5"/>
  <c r="AM332" i="5" s="1"/>
  <c r="J169" i="5"/>
  <c r="J170" i="5" s="1"/>
  <c r="AJ20" i="5" l="1"/>
  <c r="AH20" i="5" s="1"/>
  <c r="AJ19" i="5"/>
  <c r="AM14" i="5"/>
  <c r="AM20" i="5" s="1"/>
  <c r="AM269" i="5"/>
  <c r="AJ279" i="5"/>
  <c r="AH269" i="5"/>
  <c r="AH279" i="5" s="1"/>
  <c r="AM165" i="5"/>
  <c r="AH165" i="5"/>
  <c r="J188" i="5"/>
  <c r="J168" i="5"/>
  <c r="H210" i="5"/>
  <c r="H464" i="5" s="1"/>
  <c r="G210" i="5"/>
  <c r="G464" i="5" s="1"/>
  <c r="AM19" i="5" l="1"/>
  <c r="AM79" i="5" s="1"/>
  <c r="H465" i="5"/>
  <c r="AA210" i="5"/>
  <c r="AJ79" i="5"/>
  <c r="AN13" i="5"/>
  <c r="AH19" i="5"/>
  <c r="AH79" i="5" s="1"/>
  <c r="AM279" i="5"/>
  <c r="AL165" i="5"/>
  <c r="R210" i="5"/>
  <c r="R213" i="5" s="1"/>
  <c r="J210" i="5"/>
  <c r="H213" i="5"/>
  <c r="M210" i="5"/>
  <c r="M213" i="5" s="1"/>
  <c r="G213" i="5"/>
  <c r="R451" i="5" l="1"/>
  <c r="R453" i="5" s="1"/>
  <c r="AE210" i="5"/>
  <c r="Z210" i="5"/>
  <c r="AN15" i="5"/>
  <c r="AN269" i="5" s="1"/>
  <c r="AA213" i="5"/>
  <c r="J213" i="5"/>
  <c r="AN332" i="5" l="1"/>
  <c r="Z213" i="5"/>
  <c r="AI210" i="5"/>
  <c r="AD210" i="5"/>
  <c r="AN14" i="5"/>
  <c r="AN279" i="5"/>
  <c r="AL269" i="5"/>
  <c r="AL279" i="5" s="1"/>
  <c r="AE213" i="5"/>
  <c r="J214" i="5"/>
  <c r="J212" i="5"/>
  <c r="AD213" i="5" l="1"/>
  <c r="AM210" i="5"/>
  <c r="AH210" i="5"/>
  <c r="AL332" i="5"/>
  <c r="AN20" i="5"/>
  <c r="AL20" i="5" s="1"/>
  <c r="AN19" i="5"/>
  <c r="AI213" i="5"/>
  <c r="AH213" i="5" l="1"/>
  <c r="AL210" i="5"/>
  <c r="AL213" i="5" s="1"/>
  <c r="AN79" i="5"/>
  <c r="AL19" i="5"/>
  <c r="AL79" i="5" s="1"/>
  <c r="AM213" i="5"/>
  <c r="M132" i="5"/>
  <c r="J132" i="5"/>
  <c r="J364" i="5" l="1"/>
  <c r="J366" i="5" l="1"/>
  <c r="J365" i="5" l="1"/>
  <c r="J367" i="5"/>
  <c r="I443" i="5" l="1"/>
  <c r="I442" i="5"/>
  <c r="V443" i="5" l="1"/>
  <c r="V448" i="5" s="1"/>
  <c r="V451" i="5" s="1"/>
  <c r="V453" i="5" s="1"/>
  <c r="I468" i="5"/>
  <c r="I469" i="5" s="1"/>
  <c r="G443" i="5"/>
  <c r="M443" i="5" s="1"/>
  <c r="I448" i="5"/>
  <c r="G442" i="5"/>
  <c r="T140" i="6"/>
  <c r="U140" i="6"/>
  <c r="V140" i="6"/>
  <c r="U141" i="6"/>
  <c r="V141" i="6"/>
  <c r="T141" i="6"/>
  <c r="J443" i="5" l="1"/>
  <c r="J442" i="5"/>
  <c r="M442" i="5"/>
  <c r="H445" i="5" l="1"/>
  <c r="H468" i="5" s="1"/>
  <c r="H469" i="5" s="1"/>
  <c r="H444" i="5"/>
  <c r="T142" i="6" l="1"/>
  <c r="G444" i="5"/>
  <c r="H448" i="5"/>
  <c r="U142" i="6"/>
  <c r="V142" i="6"/>
  <c r="J444" i="5" l="1"/>
  <c r="M444" i="5"/>
  <c r="T143" i="6"/>
  <c r="V143" i="6"/>
  <c r="G445" i="5"/>
  <c r="G465" i="5" s="1"/>
  <c r="U143" i="6"/>
  <c r="G448" i="5" l="1"/>
  <c r="G468" i="5"/>
  <c r="G469" i="5" s="1"/>
  <c r="M445" i="5"/>
  <c r="M448" i="5" s="1"/>
  <c r="J445" i="5"/>
  <c r="J448" i="5" l="1"/>
  <c r="J447" i="5" l="1"/>
  <c r="J449" i="5"/>
  <c r="Q61" i="8"/>
  <c r="I79" i="5"/>
  <c r="O61" i="8" l="1"/>
  <c r="W50" i="5"/>
  <c r="W61" i="8" l="1"/>
  <c r="W79" i="5"/>
  <c r="W453" i="5" s="1"/>
  <c r="X50" i="5"/>
  <c r="X79" i="5" s="1"/>
  <c r="X453" i="5" s="1"/>
  <c r="J50" i="5"/>
  <c r="G79" i="5"/>
  <c r="N450" i="5" s="1"/>
  <c r="P456" i="5" l="1"/>
  <c r="J79" i="5"/>
  <c r="J78" i="5" l="1"/>
  <c r="J80" i="5"/>
  <c r="Q12" i="6"/>
  <c r="G109" i="5" s="1"/>
  <c r="Y12" i="6" l="1"/>
  <c r="I148" i="5"/>
  <c r="AB109" i="5"/>
  <c r="H148" i="5"/>
  <c r="AA109" i="5"/>
  <c r="T12" i="6"/>
  <c r="U12" i="6"/>
  <c r="V12" i="6"/>
  <c r="AF109" i="5" l="1"/>
  <c r="AB148" i="5"/>
  <c r="Z109" i="5"/>
  <c r="Z148" i="5" s="1"/>
  <c r="AE109" i="5"/>
  <c r="AA148" i="5"/>
  <c r="M109" i="5"/>
  <c r="M148" i="5" s="1"/>
  <c r="G148" i="5"/>
  <c r="G451" i="5" s="1"/>
  <c r="J109" i="5"/>
  <c r="G453" i="5" l="1"/>
  <c r="AD109" i="5"/>
  <c r="AD148" i="5" s="1"/>
  <c r="AI109" i="5"/>
  <c r="AE148" i="5"/>
  <c r="AJ109" i="5"/>
  <c r="AF148" i="5"/>
  <c r="J148" i="5"/>
  <c r="AN109" i="5" l="1"/>
  <c r="AN148" i="5" s="1"/>
  <c r="AJ148" i="5"/>
  <c r="AH109" i="5"/>
  <c r="AH148" i="5" s="1"/>
  <c r="AM109" i="5"/>
  <c r="AI148" i="5"/>
  <c r="J149" i="5"/>
  <c r="J147" i="5"/>
  <c r="I414" i="5"/>
  <c r="I451" i="5" s="1"/>
  <c r="Q145" i="6"/>
  <c r="N451" i="5" s="1"/>
  <c r="H414" i="5"/>
  <c r="H451" i="5" s="1"/>
  <c r="R145" i="6"/>
  <c r="S145" i="6"/>
  <c r="N452" i="5" l="1"/>
  <c r="I453" i="5"/>
  <c r="I457" i="5" s="1"/>
  <c r="H453" i="5"/>
  <c r="H457" i="5" s="1"/>
  <c r="AL109" i="5"/>
  <c r="AL148" i="5" s="1"/>
  <c r="AM148" i="5"/>
  <c r="K451" i="5"/>
  <c r="J414" i="5"/>
  <c r="J397" i="5"/>
  <c r="M397" i="5"/>
  <c r="M414" i="5" s="1"/>
  <c r="M451" i="5" s="1"/>
  <c r="J451" i="5" l="1"/>
  <c r="J450" i="5" s="1"/>
  <c r="J415" i="5"/>
  <c r="J413" i="5"/>
  <c r="D453" i="5" l="1"/>
  <c r="G457" i="5"/>
  <c r="AE153" i="5"/>
  <c r="AA162" i="5"/>
  <c r="AA464" i="5" s="1"/>
  <c r="AA465" i="5" s="1"/>
  <c r="AB155" i="5"/>
  <c r="AA460" i="5"/>
  <c r="AA461" i="5" s="1"/>
  <c r="AA333" i="5" s="1"/>
  <c r="AA153" i="5"/>
  <c r="AE162" i="5" l="1"/>
  <c r="AE464" i="5" s="1"/>
  <c r="AE465" i="5" s="1"/>
  <c r="AF153" i="5"/>
  <c r="AD153" i="5" s="1"/>
  <c r="AF155" i="5"/>
  <c r="AF460" i="5"/>
  <c r="AF461" i="5" s="1"/>
  <c r="AF333" i="5" s="1"/>
  <c r="AF336" i="5" s="1"/>
  <c r="AA336" i="5"/>
  <c r="AA155" i="5"/>
  <c r="Z155" i="5" s="1"/>
  <c r="AB460" i="5"/>
  <c r="AB461" i="5" s="1"/>
  <c r="AB333" i="5" s="1"/>
  <c r="AB336" i="5" s="1"/>
  <c r="AB157" i="5"/>
  <c r="AF157" i="5" s="1"/>
  <c r="AJ157" i="5" s="1"/>
  <c r="AE460" i="5"/>
  <c r="AE461" i="5" s="1"/>
  <c r="AE333" i="5" s="1"/>
  <c r="AA159" i="5"/>
  <c r="AB153" i="5"/>
  <c r="AA157" i="5"/>
  <c r="AE155" i="5"/>
  <c r="AB162" i="5"/>
  <c r="AB159" i="5"/>
  <c r="AF159" i="5" s="1"/>
  <c r="AJ159" i="5" s="1"/>
  <c r="AF162" i="5" l="1"/>
  <c r="AF169" i="5" s="1"/>
  <c r="AF451" i="5" s="1"/>
  <c r="AF453" i="5" s="1"/>
  <c r="AF457" i="5" s="1"/>
  <c r="AB464" i="5"/>
  <c r="AB465" i="5" s="1"/>
  <c r="AD155" i="5"/>
  <c r="AB169" i="5"/>
  <c r="AB451" i="5" s="1"/>
  <c r="AB453" i="5" s="1"/>
  <c r="AB457" i="5" s="1"/>
  <c r="Z460" i="5"/>
  <c r="Z461" i="5" s="1"/>
  <c r="Z162" i="5"/>
  <c r="Z464" i="5" s="1"/>
  <c r="Z465" i="5" s="1"/>
  <c r="AI155" i="5"/>
  <c r="AI460" i="5"/>
  <c r="AI461" i="5" s="1"/>
  <c r="AI333" i="5" s="1"/>
  <c r="AI153" i="5"/>
  <c r="Z153" i="5"/>
  <c r="Z333" i="5"/>
  <c r="Z336" i="5" s="1"/>
  <c r="AD460" i="5"/>
  <c r="AD461" i="5" s="1"/>
  <c r="AE157" i="5"/>
  <c r="Z157" i="5"/>
  <c r="AE159" i="5"/>
  <c r="Z159" i="5"/>
  <c r="AA169" i="5"/>
  <c r="AA451" i="5" s="1"/>
  <c r="AA453" i="5" s="1"/>
  <c r="AA457" i="5" s="1"/>
  <c r="AD333" i="5"/>
  <c r="AD336" i="5" s="1"/>
  <c r="AE336" i="5"/>
  <c r="AI162" i="5"/>
  <c r="AI464" i="5" s="1"/>
  <c r="AI465" i="5" s="1"/>
  <c r="AJ155" i="5"/>
  <c r="AJ153" i="5"/>
  <c r="AJ460" i="5"/>
  <c r="AJ461" i="5" s="1"/>
  <c r="AJ333" i="5" s="1"/>
  <c r="AJ336" i="5" s="1"/>
  <c r="AD162" i="5" l="1"/>
  <c r="AD464" i="5" s="1"/>
  <c r="AD465" i="5" s="1"/>
  <c r="AJ162" i="5"/>
  <c r="AJ464" i="5" s="1"/>
  <c r="AJ465" i="5" s="1"/>
  <c r="AF464" i="5"/>
  <c r="AF465" i="5" s="1"/>
  <c r="AH155" i="5"/>
  <c r="Z169" i="5"/>
  <c r="Z451" i="5" s="1"/>
  <c r="Z453" i="5" s="1"/>
  <c r="Z457" i="5" s="1"/>
  <c r="AH153" i="5"/>
  <c r="AI159" i="5"/>
  <c r="AD159" i="5"/>
  <c r="AN155" i="5"/>
  <c r="AN460" i="5"/>
  <c r="AN461" i="5" s="1"/>
  <c r="AN333" i="5" s="1"/>
  <c r="AN336" i="5" s="1"/>
  <c r="AN153" i="5"/>
  <c r="AM460" i="5"/>
  <c r="AM461" i="5" s="1"/>
  <c r="AM333" i="5" s="1"/>
  <c r="AM153" i="5"/>
  <c r="AM155" i="5"/>
  <c r="AE169" i="5"/>
  <c r="AE451" i="5" s="1"/>
  <c r="AE453" i="5" s="1"/>
  <c r="AE457" i="5" s="1"/>
  <c r="AM162" i="5"/>
  <c r="AM464" i="5" s="1"/>
  <c r="AM465" i="5" s="1"/>
  <c r="AN159" i="5"/>
  <c r="AI157" i="5"/>
  <c r="AD157" i="5"/>
  <c r="AN157" i="5"/>
  <c r="AH460" i="5"/>
  <c r="AH461" i="5" s="1"/>
  <c r="AH333" i="5"/>
  <c r="AH336" i="5" s="1"/>
  <c r="AI336" i="5"/>
  <c r="AJ169" i="5" l="1"/>
  <c r="AJ451" i="5" s="1"/>
  <c r="AJ453" i="5" s="1"/>
  <c r="AJ457" i="5" s="1"/>
  <c r="AN162" i="5"/>
  <c r="AN464" i="5" s="1"/>
  <c r="AN465" i="5" s="1"/>
  <c r="AH162" i="5"/>
  <c r="AH464" i="5" s="1"/>
  <c r="AH465" i="5" s="1"/>
  <c r="AL460" i="5"/>
  <c r="AL461" i="5" s="1"/>
  <c r="AM159" i="5"/>
  <c r="AL159" i="5" s="1"/>
  <c r="AH159" i="5"/>
  <c r="AM157" i="5"/>
  <c r="AH157" i="5"/>
  <c r="AM336" i="5"/>
  <c r="AL333" i="5"/>
  <c r="AL336" i="5" s="1"/>
  <c r="AL155" i="5"/>
  <c r="AI169" i="5"/>
  <c r="AI451" i="5" s="1"/>
  <c r="AI453" i="5" s="1"/>
  <c r="AI457" i="5" s="1"/>
  <c r="AD169" i="5"/>
  <c r="AD451" i="5" s="1"/>
  <c r="AD453" i="5" s="1"/>
  <c r="AD457" i="5" s="1"/>
  <c r="AL153" i="5"/>
  <c r="AL162" i="5" l="1"/>
  <c r="AL464" i="5" s="1"/>
  <c r="AL465" i="5" s="1"/>
  <c r="AN169" i="5"/>
  <c r="AN451" i="5" s="1"/>
  <c r="AN453" i="5" s="1"/>
  <c r="AN457" i="5" s="1"/>
  <c r="AH169" i="5"/>
  <c r="AH451" i="5" s="1"/>
  <c r="AH453" i="5" s="1"/>
  <c r="AH457" i="5" s="1"/>
  <c r="AL157" i="5"/>
  <c r="AM169" i="5"/>
  <c r="AM451" i="5" s="1"/>
  <c r="AM453" i="5" s="1"/>
  <c r="AM457" i="5" s="1"/>
  <c r="AL169" i="5" l="1"/>
  <c r="AL451" i="5" s="1"/>
  <c r="AL453" i="5" s="1"/>
  <c r="AL457" i="5" s="1"/>
</calcChain>
</file>

<file path=xl/sharedStrings.xml><?xml version="1.0" encoding="utf-8"?>
<sst xmlns="http://schemas.openxmlformats.org/spreadsheetml/2006/main" count="1641" uniqueCount="439">
  <si>
    <t>SUNSHINE ELEMENTARY CHARTER SCHOOL / PARAGON ACADEMY OF TECHNOLOGY</t>
  </si>
  <si>
    <t>PALM BAY ELEMENTARY/ PALM BAY PREPARATORY ACADEMY</t>
  </si>
  <si>
    <t>*</t>
  </si>
  <si>
    <t>COMBINED BUDGET</t>
  </si>
  <si>
    <t>ALL FUNDS</t>
  </si>
  <si>
    <t>BY FUNCTION &amp; OBJECT</t>
  </si>
  <si>
    <t>FY22</t>
  </si>
  <si>
    <t>FY23</t>
  </si>
  <si>
    <t>FY24</t>
  </si>
  <si>
    <t>FY25</t>
  </si>
  <si>
    <t>Account Number</t>
  </si>
  <si>
    <t>Description</t>
  </si>
  <si>
    <t>Total</t>
  </si>
  <si>
    <t>PALMBE</t>
  </si>
  <si>
    <t>PBPA</t>
  </si>
  <si>
    <t>Enrollment</t>
  </si>
  <si>
    <t>FEFP Total</t>
  </si>
  <si>
    <t>FEFP Restricted</t>
  </si>
  <si>
    <t>Admin Fee</t>
  </si>
  <si>
    <t>Revenues</t>
  </si>
  <si>
    <t>PR / Exp?</t>
  </si>
  <si>
    <t>PALMBE 490</t>
  </si>
  <si>
    <t>PALMBE 410</t>
  </si>
  <si>
    <t>PALMBE 432</t>
  </si>
  <si>
    <t>PBPA 432</t>
  </si>
  <si>
    <t>PALMBE 435</t>
  </si>
  <si>
    <t>PBPA 435</t>
  </si>
  <si>
    <t>PBPA 360</t>
  </si>
  <si>
    <t>PBPA 410</t>
  </si>
  <si>
    <t>Ttl 410</t>
  </si>
  <si>
    <t>Assumptions:</t>
  </si>
  <si>
    <t>PY + Enr Chg + 1% Inc</t>
  </si>
  <si>
    <t>NA</t>
  </si>
  <si>
    <t>PY + Enr Chg</t>
  </si>
  <si>
    <t xml:space="preserve">PY </t>
  </si>
  <si>
    <t>PY + Inf</t>
  </si>
  <si>
    <t>Remove after FY21</t>
  </si>
  <si>
    <t>Total Revenues</t>
  </si>
  <si>
    <t>Expenditures</t>
  </si>
  <si>
    <t>Teachers (not including Title I)</t>
  </si>
  <si>
    <t>Student Teacher Ratio</t>
  </si>
  <si>
    <t xml:space="preserve">Classroom Teachers                                </t>
  </si>
  <si>
    <t>PY + Enr Chg + Inf</t>
  </si>
  <si>
    <t>Permanent Substitute</t>
  </si>
  <si>
    <t xml:space="preserve">Classroom Aides                                   </t>
  </si>
  <si>
    <t xml:space="preserve">Retirement                                        </t>
  </si>
  <si>
    <t>10% of salaries less Title I</t>
  </si>
  <si>
    <t xml:space="preserve">Social Security                                   </t>
  </si>
  <si>
    <t>7.65% of salaries less Title I</t>
  </si>
  <si>
    <t xml:space="preserve">Group Insurance                                   </t>
  </si>
  <si>
    <t>PY + Salary Chg + Inf</t>
  </si>
  <si>
    <t xml:space="preserve">Workers Compensation                              </t>
  </si>
  <si>
    <t xml:space="preserve">Unemployment Compensation                         </t>
  </si>
  <si>
    <t>Total Instruction</t>
  </si>
  <si>
    <t>ESE Teachers</t>
  </si>
  <si>
    <t>ESE Aides</t>
  </si>
  <si>
    <t>10% of salaries</t>
  </si>
  <si>
    <t>7.65% of salaries</t>
  </si>
  <si>
    <t>Total Exceptional Instruction</t>
  </si>
  <si>
    <t>Prekindergarten Director</t>
  </si>
  <si>
    <t>Prekindergarten Teachers</t>
  </si>
  <si>
    <t>Prekindergarten Aides</t>
  </si>
  <si>
    <t>Total Prekindergarten Instruction</t>
  </si>
  <si>
    <t>Guidance</t>
  </si>
  <si>
    <t>Total Pupil Personnel Services</t>
  </si>
  <si>
    <t xml:space="preserve">IT Specialist                                  </t>
  </si>
  <si>
    <t xml:space="preserve">Media Specialist                                  </t>
  </si>
  <si>
    <t>Total Instruction Media Sources</t>
  </si>
  <si>
    <t>Curriculum Development</t>
  </si>
  <si>
    <t xml:space="preserve">Total Instruction and Curriculum Development </t>
  </si>
  <si>
    <t>Total Instructional Staff Training Services</t>
  </si>
  <si>
    <t>Technology Specialist</t>
  </si>
  <si>
    <t>Total Instruction Related Technology</t>
  </si>
  <si>
    <t>5% of FEFP at 250 FTE</t>
  </si>
  <si>
    <t>Total Board</t>
  </si>
  <si>
    <t>Administrators</t>
  </si>
  <si>
    <t xml:space="preserve">Administrative Assistants                         </t>
  </si>
  <si>
    <t>Total School Administration</t>
  </si>
  <si>
    <t>Total Facilities Acquisition</t>
  </si>
  <si>
    <t>Per Contract</t>
  </si>
  <si>
    <t>1.25% of Salaries</t>
  </si>
  <si>
    <t>Total Fiscal Services</t>
  </si>
  <si>
    <t>Food Service Staff</t>
  </si>
  <si>
    <t>Total Food Services</t>
  </si>
  <si>
    <t>Total Central Services</t>
  </si>
  <si>
    <t>Total Pupil Transportation Services</t>
  </si>
  <si>
    <t>Custodians</t>
  </si>
  <si>
    <t>Security</t>
  </si>
  <si>
    <t>FY21: PY + Inf; FY22-FY25:PALMBE $1000/mo, PBPA $1000/mo</t>
  </si>
  <si>
    <t>FY21: PY + Inf; FY22-FY25:PALMBE $5500/mo, PBPA $5500/mo</t>
  </si>
  <si>
    <t>Total Operation of Plant</t>
  </si>
  <si>
    <t>Total Maintenance of Plant</t>
  </si>
  <si>
    <t>Aftercare Worker</t>
  </si>
  <si>
    <t>Total Community Services</t>
  </si>
  <si>
    <t>50% PALMBE / 50% PBPA</t>
  </si>
  <si>
    <t>Capital Outlay</t>
  </si>
  <si>
    <t>Total Debt Service</t>
  </si>
  <si>
    <t>Total Expenditures</t>
  </si>
  <si>
    <t>Projected Fund Balance, July 1, 2020</t>
  </si>
  <si>
    <t>Fund Balance, June 30, 2021</t>
  </si>
  <si>
    <t>Payroll</t>
  </si>
  <si>
    <t>Payroll Fee Calc</t>
  </si>
  <si>
    <t>Projected</t>
  </si>
  <si>
    <t xml:space="preserve"> </t>
  </si>
  <si>
    <t>Revenue Input Schedule</t>
  </si>
  <si>
    <t>Campus</t>
  </si>
  <si>
    <t>2017-2018</t>
  </si>
  <si>
    <t>Budget</t>
  </si>
  <si>
    <t>Assumptions</t>
  </si>
  <si>
    <t>FEFP - Bay District Schools</t>
  </si>
  <si>
    <t>FEFP Restricted Capital Outlay</t>
  </si>
  <si>
    <t>IDEA Revenue</t>
  </si>
  <si>
    <t>Florida Teacher's Lead Program</t>
  </si>
  <si>
    <t>VPK</t>
  </si>
  <si>
    <t>Miscellaneous State Funding</t>
  </si>
  <si>
    <t>Yearbook</t>
  </si>
  <si>
    <t>Prekindergarten (Cubs)</t>
  </si>
  <si>
    <t>Show Choir</t>
  </si>
  <si>
    <t>English Class</t>
  </si>
  <si>
    <t>Misc Local Revenue</t>
  </si>
  <si>
    <t>Clubs</t>
  </si>
  <si>
    <t>Field Trip</t>
  </si>
  <si>
    <t>Commissions</t>
  </si>
  <si>
    <t>T Shirt</t>
  </si>
  <si>
    <t>Car Tags</t>
  </si>
  <si>
    <t>Fundraiser</t>
  </si>
  <si>
    <t>Serve Grant</t>
  </si>
  <si>
    <t>Uniforms</t>
  </si>
  <si>
    <t>Sports</t>
  </si>
  <si>
    <t>Aftercare</t>
  </si>
  <si>
    <t>Student Activities</t>
  </si>
  <si>
    <t>Aftercare (LEAP)</t>
  </si>
  <si>
    <t>Donations</t>
  </si>
  <si>
    <t>Proceeds of Long Term Debt</t>
  </si>
  <si>
    <t>Charter School Capital Outlay</t>
  </si>
  <si>
    <t>School Lunch Reimbursement</t>
  </si>
  <si>
    <t>School Breakfast Reimbursement</t>
  </si>
  <si>
    <t>Afterschool Snack Reimbursement</t>
  </si>
  <si>
    <t>School Lunch Revenue</t>
  </si>
  <si>
    <t xml:space="preserve">Non Programmed Food </t>
  </si>
  <si>
    <t>Lunchroom Reimbursement</t>
  </si>
  <si>
    <t>Title I</t>
  </si>
  <si>
    <t>Per Title I Budget</t>
  </si>
  <si>
    <t>PPP</t>
  </si>
  <si>
    <t>Per Allocation</t>
  </si>
  <si>
    <t xml:space="preserve">ESSER </t>
  </si>
  <si>
    <t>FEMA Proceeds</t>
  </si>
  <si>
    <t>Insurance Claim</t>
  </si>
  <si>
    <t>OldEnr Ttl</t>
  </si>
  <si>
    <t>NewEnr Ttl</t>
  </si>
  <si>
    <t>Inf</t>
  </si>
  <si>
    <t>PRInf</t>
  </si>
  <si>
    <t>NewAdmFee PALMBE</t>
  </si>
  <si>
    <t>NewRest PALMBE</t>
  </si>
  <si>
    <t>NewRev PALMBE</t>
  </si>
  <si>
    <t>OldEnr  PALMBE</t>
  </si>
  <si>
    <t>NewEnr PALMBE</t>
  </si>
  <si>
    <t>OldEnr PBPA</t>
  </si>
  <si>
    <t>NewEnr PBPA</t>
  </si>
  <si>
    <t>NewRev PBPA</t>
  </si>
  <si>
    <t>NewAdmFee PBPA</t>
  </si>
  <si>
    <t>NewRest PPBA</t>
  </si>
  <si>
    <t>jhwh5494</t>
  </si>
  <si>
    <t>Payroll Input Schedule</t>
  </si>
  <si>
    <t>Social Security</t>
  </si>
  <si>
    <t>Workers Comp</t>
  </si>
  <si>
    <t>Instruction</t>
  </si>
  <si>
    <t>Administrative</t>
  </si>
  <si>
    <t>Custodial</t>
  </si>
  <si>
    <t>#</t>
  </si>
  <si>
    <t>Food Service</t>
  </si>
  <si>
    <t>Account Code</t>
  </si>
  <si>
    <t>Name</t>
  </si>
  <si>
    <t>Postion</t>
  </si>
  <si>
    <t>Salary</t>
  </si>
  <si>
    <t>Stipend</t>
  </si>
  <si>
    <t>Total Salary</t>
  </si>
  <si>
    <t>FRS</t>
  </si>
  <si>
    <t>Health Ins</t>
  </si>
  <si>
    <t>Unemploy Comp</t>
  </si>
  <si>
    <t>100-4000-5100-120</t>
  </si>
  <si>
    <t>BONCARO, DANIELLE A</t>
  </si>
  <si>
    <t>y</t>
  </si>
  <si>
    <t>24 pp salary</t>
  </si>
  <si>
    <t>ENGLAND, CANDACE L (Title I)</t>
  </si>
  <si>
    <t>**</t>
  </si>
  <si>
    <t>GARRETT, CATHERINE S</t>
  </si>
  <si>
    <t>GREATHOUSE, JANET D</t>
  </si>
  <si>
    <t>n</t>
  </si>
  <si>
    <t>REEVES, SONIA</t>
  </si>
  <si>
    <t>RICHEY, RHONDA K</t>
  </si>
  <si>
    <t>TISDALE, NATALIE</t>
  </si>
  <si>
    <t>WRIGHT, KELLI</t>
  </si>
  <si>
    <t xml:space="preserve">10040005100120                               </t>
  </si>
  <si>
    <t>100-4000-5100-140</t>
  </si>
  <si>
    <t>10040005100140</t>
  </si>
  <si>
    <t>100-4000-5100-150</t>
  </si>
  <si>
    <t>HOLLOWAY, GEORGINA (Title I)</t>
  </si>
  <si>
    <t xml:space="preserve">10040005100150                               </t>
  </si>
  <si>
    <t>100-4000-5200-120</t>
  </si>
  <si>
    <t xml:space="preserve">10040005200120                               </t>
  </si>
  <si>
    <t xml:space="preserve">ESE Teacher                                       </t>
  </si>
  <si>
    <t>100-4000-5200-150</t>
  </si>
  <si>
    <t>10040005200150</t>
  </si>
  <si>
    <t xml:space="preserve">ESE Aide                                       </t>
  </si>
  <si>
    <t>100-4000-6120-120</t>
  </si>
  <si>
    <t xml:space="preserve">Guidance Counselor                             </t>
  </si>
  <si>
    <t>100-4000-6500-160</t>
  </si>
  <si>
    <t>COLEMERE, JEREMY</t>
  </si>
  <si>
    <t>10040006500160</t>
  </si>
  <si>
    <t>100-4000-7300-110</t>
  </si>
  <si>
    <t>PHILLIPS, PATRICIA</t>
  </si>
  <si>
    <t xml:space="preserve">10040007300110                               </t>
  </si>
  <si>
    <t xml:space="preserve">Administrator                                     </t>
  </si>
  <si>
    <t>100-4000-7300-160</t>
  </si>
  <si>
    <t xml:space="preserve">10040007300160                               </t>
  </si>
  <si>
    <t>410-4000-7600-160</t>
  </si>
  <si>
    <t>ESCOBAR, ZARITMA</t>
  </si>
  <si>
    <t>MILLER, JOSI</t>
  </si>
  <si>
    <t>PURDIE, KATHLEEN M</t>
  </si>
  <si>
    <t>STRATTON, ANGELA</t>
  </si>
  <si>
    <t xml:space="preserve">41040007600160                               </t>
  </si>
  <si>
    <t xml:space="preserve">Food Service Staff    </t>
  </si>
  <si>
    <t>100-4000-7900-160</t>
  </si>
  <si>
    <t xml:space="preserve">10040007900160                               </t>
  </si>
  <si>
    <t xml:space="preserve">Custodians                                        </t>
  </si>
  <si>
    <t>100-4000-9100-150</t>
  </si>
  <si>
    <t>10040009100150</t>
  </si>
  <si>
    <t>After Care</t>
  </si>
  <si>
    <t>1XX</t>
  </si>
  <si>
    <t>Ttl</t>
  </si>
  <si>
    <t>Y</t>
  </si>
  <si>
    <t>N</t>
  </si>
  <si>
    <t>Expense Input Schedule</t>
  </si>
  <si>
    <t>2016-2017</t>
  </si>
  <si>
    <t>Contracted Services</t>
  </si>
  <si>
    <t>Field Trips</t>
  </si>
  <si>
    <t>Student Accident Insurance</t>
  </si>
  <si>
    <t>Travel</t>
  </si>
  <si>
    <t>Travel/Workshop/Conference</t>
  </si>
  <si>
    <t>Computer Repair</t>
  </si>
  <si>
    <t>Software, License, Support, &amp; Maintenance</t>
  </si>
  <si>
    <t>Software, License, Support &amp; Maintenance</t>
  </si>
  <si>
    <t>Per ESSER Budget</t>
  </si>
  <si>
    <t>Copy and Printing</t>
  </si>
  <si>
    <t>PY + Enr Chg + Inf (Split 50/50)</t>
  </si>
  <si>
    <t>Instructional Materials</t>
  </si>
  <si>
    <t>Textbooks</t>
  </si>
  <si>
    <t>Estimate Per School</t>
  </si>
  <si>
    <t xml:space="preserve">Electronic Textbooks </t>
  </si>
  <si>
    <t>Library Books</t>
  </si>
  <si>
    <t>Capitalized Furniture, Fixtures and Equipment</t>
  </si>
  <si>
    <t>Non Capital Furniture &amp; Equipment</t>
  </si>
  <si>
    <t>Computer Equipment</t>
  </si>
  <si>
    <t>Noncapitalized Computer Hardware</t>
  </si>
  <si>
    <t>Software</t>
  </si>
  <si>
    <t>Dues and Fees</t>
  </si>
  <si>
    <t>Substitute Teachers</t>
  </si>
  <si>
    <t>Meals</t>
  </si>
  <si>
    <t>Snacks</t>
  </si>
  <si>
    <t>Furniture &amp; Equipment</t>
  </si>
  <si>
    <t>Health Services</t>
  </si>
  <si>
    <t>Health Supplies</t>
  </si>
  <si>
    <t>Parent Involvement</t>
  </si>
  <si>
    <t>Other Books and Materials</t>
  </si>
  <si>
    <t>Testing and Assessment</t>
  </si>
  <si>
    <t>Staff Development</t>
  </si>
  <si>
    <t>Technology Support &amp; Service</t>
  </si>
  <si>
    <t>Capitalized Hardware &amp; Technology Related-Infrastr</t>
  </si>
  <si>
    <t>Legal and Audit Expense</t>
  </si>
  <si>
    <t xml:space="preserve">PY + Inf </t>
  </si>
  <si>
    <t>Insurance</t>
  </si>
  <si>
    <t>Travel/Conferences/Workshops</t>
  </si>
  <si>
    <t>Supplies</t>
  </si>
  <si>
    <t>District Admin Fees</t>
  </si>
  <si>
    <t>5% FEFP at 250 FTE</t>
  </si>
  <si>
    <t>Miscellaneous Expense</t>
  </si>
  <si>
    <t>Bank Charges</t>
  </si>
  <si>
    <t>Administrative Contracted Services</t>
  </si>
  <si>
    <t>Travel / Conferences / Workshops</t>
  </si>
  <si>
    <t>Postage</t>
  </si>
  <si>
    <t>Advertising</t>
  </si>
  <si>
    <t>Office Expense</t>
  </si>
  <si>
    <t>Furniture &amp; Fixtures</t>
  </si>
  <si>
    <t>Capitalized Furniture Fixtures and Equipment</t>
  </si>
  <si>
    <t>Computer Hardware</t>
  </si>
  <si>
    <t>Dues &amp; Fees</t>
  </si>
  <si>
    <t>Facility Cost</t>
  </si>
  <si>
    <t>Building and Fixed Equipment</t>
  </si>
  <si>
    <t>Improvements other than Building</t>
  </si>
  <si>
    <t>Contract Controller Service</t>
  </si>
  <si>
    <t>Payroll Service</t>
  </si>
  <si>
    <t>Contracted Food Service</t>
  </si>
  <si>
    <t>Repairs and Maintenance</t>
  </si>
  <si>
    <t>Natural Gas</t>
  </si>
  <si>
    <t>Electricity</t>
  </si>
  <si>
    <t>Gasoline</t>
  </si>
  <si>
    <t>Food Service Supplies</t>
  </si>
  <si>
    <t>Nonprogrammed Food Supplies</t>
  </si>
  <si>
    <t>Furniture and Equipment</t>
  </si>
  <si>
    <t>Non-Capitalized Furniture Fixtures and Equipment</t>
  </si>
  <si>
    <t>Capitalized Computer Hardware</t>
  </si>
  <si>
    <t>Other Motor Vehicles</t>
  </si>
  <si>
    <t>Transportation - Contracted Services</t>
  </si>
  <si>
    <t>Security Services</t>
  </si>
  <si>
    <t>Insurances</t>
  </si>
  <si>
    <t>Contract Custodial Service</t>
  </si>
  <si>
    <t>Rentals</t>
  </si>
  <si>
    <t>Rental</t>
  </si>
  <si>
    <t>Communications</t>
  </si>
  <si>
    <t>Water Sewer Garbage Collection</t>
  </si>
  <si>
    <t>Other Contracted Building Services</t>
  </si>
  <si>
    <t>Custodial Supplies</t>
  </si>
  <si>
    <t>Custodial Furniture and Equipment</t>
  </si>
  <si>
    <t>Capitalized Furniture &amp; Equipment</t>
  </si>
  <si>
    <t>Non-capitalized Furniture &amp; Equipment</t>
  </si>
  <si>
    <t>Maintenance Sub</t>
  </si>
  <si>
    <t>Aftercare Supplies</t>
  </si>
  <si>
    <t>Donation</t>
  </si>
  <si>
    <t>Debt Services - Principal</t>
  </si>
  <si>
    <t>Debt Service - Principal</t>
  </si>
  <si>
    <t>Debt Services - Interest</t>
  </si>
  <si>
    <t>Debt Service - Interest</t>
  </si>
  <si>
    <t>DOAK, KAREN W</t>
  </si>
  <si>
    <t>HOLLOWAY, GEORGINA</t>
  </si>
  <si>
    <t>CRUZ - CUMBA, GISELA</t>
  </si>
  <si>
    <t>YANCEY, PATTI Y</t>
  </si>
  <si>
    <t>FULLER, CHRYSTAL</t>
  </si>
  <si>
    <t>DANZEY, RON (33% PBPA)</t>
  </si>
  <si>
    <t>2021-2022</t>
  </si>
  <si>
    <t>COVID-19 Tax Credit</t>
  </si>
  <si>
    <t>Food Service Grant</t>
  </si>
  <si>
    <t>ESSER</t>
  </si>
  <si>
    <t>GEER</t>
  </si>
  <si>
    <t>CSP Revenue</t>
  </si>
  <si>
    <t>Restart Revenue</t>
  </si>
  <si>
    <t>100-4000-6120-130</t>
  </si>
  <si>
    <t>Technology Related Capitalized Furniture</t>
  </si>
  <si>
    <t>Restart Grant</t>
  </si>
  <si>
    <t>Hurricane Expense</t>
  </si>
  <si>
    <t>NIEVES TORRES, MADELINE</t>
  </si>
  <si>
    <t>WEAVER, BOBBI</t>
  </si>
  <si>
    <t>STALLTER, SAMANTHA</t>
  </si>
  <si>
    <t>HANSON, KATHY (33% PALMBE)</t>
  </si>
  <si>
    <t>HANSON, KATHY (33% PBPA)</t>
  </si>
  <si>
    <t>DEVY, ALEX</t>
  </si>
  <si>
    <t>COOK, KRISTIN</t>
  </si>
  <si>
    <t>Per School</t>
  </si>
  <si>
    <t>ESSER II</t>
  </si>
  <si>
    <t>CSCO</t>
  </si>
  <si>
    <t>WESTOVEN, JESSICA</t>
  </si>
  <si>
    <t>SCURLOCK, JENNIFER</t>
  </si>
  <si>
    <t>Per Amortization: 55% PALMBE / 45% PBPA</t>
  </si>
  <si>
    <t>DANZEY, RON (33% PALMBE)</t>
  </si>
  <si>
    <t>PERRY, BENJAMIN (60% PALMBE)</t>
  </si>
  <si>
    <t>PERRY, BENJAMIN (40% PBPA)</t>
  </si>
  <si>
    <t>ATMORE, CONSUELA T (60% PALMBE)</t>
  </si>
  <si>
    <t>DUNN, WANDA  (60% PALMBE)</t>
  </si>
  <si>
    <t>GUZMAN RIVERA, CARMEN A  (60% PALMBE)</t>
  </si>
  <si>
    <t>WILLIS, FALLON  (60% PALMBE)</t>
  </si>
  <si>
    <t>ATMORE, CONSUELA T (40% PBPA)</t>
  </si>
  <si>
    <t>DUNN, WANDA (40% PBPA)</t>
  </si>
  <si>
    <t>GUZMAN RIVERA, CARMEN A (40% PBPA)</t>
  </si>
  <si>
    <t>WILLIS, FALLON (40% PBPA)</t>
  </si>
  <si>
    <t>CLARK, HEATHER R (60% PALMBE)</t>
  </si>
  <si>
    <t>CLARK, HEATHER R (40% PBPA)</t>
  </si>
  <si>
    <t>PALMBE60%/PBPA40%</t>
  </si>
  <si>
    <t>10040006120130</t>
  </si>
  <si>
    <t>PY Campus Total +  Inf (Split 55/45)</t>
  </si>
  <si>
    <t>EDWARDS, TRENT</t>
  </si>
  <si>
    <t>LESKO, DEBRA</t>
  </si>
  <si>
    <t>QUINTAS, T</t>
  </si>
  <si>
    <t>ELLISOR, KILEY</t>
  </si>
  <si>
    <t>FOR THE PERIOD JULY 1, 2022 THROUGH JUNE 30, 2023</t>
  </si>
  <si>
    <t>2022-2023</t>
  </si>
  <si>
    <t>LEON, MELISSA</t>
  </si>
  <si>
    <t>SMITH, ANNTOINETTE</t>
  </si>
  <si>
    <t>FRAZIER, SINCERE</t>
  </si>
  <si>
    <t>CUTCHIN, JUSTIN</t>
  </si>
  <si>
    <t>QUILLMAN, ANDREA</t>
  </si>
  <si>
    <t>PINKUS, DEBORAH D</t>
  </si>
  <si>
    <t>BUTHERUS, PATRICIA</t>
  </si>
  <si>
    <t>CRABTREE, AMANDA Behavior Inter (Title I)</t>
  </si>
  <si>
    <t>SHACKELFORD, BRIANNA</t>
  </si>
  <si>
    <t>SMITH, DAKIEYA</t>
  </si>
  <si>
    <t>SMITH, CAROL</t>
  </si>
  <si>
    <t>YANCEY, PATTI (60% PALMBE)</t>
  </si>
  <si>
    <t>YANCEY, PATTI (40% PBPA)</t>
  </si>
  <si>
    <t>PARHAM, KAREN</t>
  </si>
  <si>
    <t>MADISON, ELIZABETH</t>
  </si>
  <si>
    <t>20 pp hourly at 55hrs/pp</t>
  </si>
  <si>
    <t>20 pp hourly at 20hrs/pp</t>
  </si>
  <si>
    <t>20 pp hourly at 30hrs/pp</t>
  </si>
  <si>
    <t>MORRISON, ANGELA</t>
  </si>
  <si>
    <t>GODWIN, MELODY</t>
  </si>
  <si>
    <t>20 pp hourly at 10hrs/pp</t>
  </si>
  <si>
    <t>20 pp hourly at 60hrs/pp</t>
  </si>
  <si>
    <t>Hrly</t>
  </si>
  <si>
    <t>Title I Teacher</t>
  </si>
  <si>
    <t>STALLTER, SAMANTHA (Title I)</t>
  </si>
  <si>
    <t>WILLIS, JULIA</t>
  </si>
  <si>
    <t>20 pp hourly at 65hrs/pp</t>
  </si>
  <si>
    <t>Recovery of Prior Year Funds</t>
  </si>
  <si>
    <t>Settlement</t>
  </si>
  <si>
    <t>Interest</t>
  </si>
  <si>
    <t xml:space="preserve">$525 / Student </t>
  </si>
  <si>
    <t>ESSER III</t>
  </si>
  <si>
    <t>Monthly $1187</t>
  </si>
  <si>
    <t>PY (100+435) + Enr Chg + Inf</t>
  </si>
  <si>
    <t>HICKS, LORI</t>
  </si>
  <si>
    <t>KIRK, MELIEA</t>
  </si>
  <si>
    <t>PAVIA, STACI</t>
  </si>
  <si>
    <t>CAUFIELD, CARRIE</t>
  </si>
  <si>
    <t>BRIDGES, RHONDA</t>
  </si>
  <si>
    <t>CLEMENTS, JO</t>
  </si>
  <si>
    <t>PY</t>
  </si>
  <si>
    <t>Title II</t>
  </si>
  <si>
    <t>Per Title II Budget</t>
  </si>
  <si>
    <t xml:space="preserve">PY (100+495) + Inf </t>
  </si>
  <si>
    <t xml:space="preserve">PY (100+435) + Inf </t>
  </si>
  <si>
    <t>$60,000 Speech Contract  (Split 55/45)</t>
  </si>
  <si>
    <t>Per Contract $62,408.19 + Inf (Split 55/45)</t>
  </si>
  <si>
    <t>PY + 5% Inc (Split 45/35)</t>
  </si>
  <si>
    <t>PY Campus Total +  Inf (Split 55/45) @50% Erate</t>
  </si>
  <si>
    <t xml:space="preserve">PY + 5% Inc </t>
  </si>
  <si>
    <t>Brock $1800, AFPS $7,500, (Split 55/45)</t>
  </si>
  <si>
    <t>** Set amount</t>
  </si>
  <si>
    <t>None - ESSER covered 2 years Edmentum</t>
  </si>
  <si>
    <t>TBA (Title I)</t>
  </si>
  <si>
    <t>PLUMLEE, CAITLIN (Title I)</t>
  </si>
  <si>
    <t>Hourly 5.75hrs/day 179 days</t>
  </si>
  <si>
    <t>Hourly 6.2hrs/day 179 days</t>
  </si>
  <si>
    <t>Hourly 2.8hrs/day 179 days</t>
  </si>
  <si>
    <t>Hourly 7.5hrs/day 179 days</t>
  </si>
  <si>
    <t>PRIEMER, KURTIS (E-III)</t>
  </si>
  <si>
    <t>TBA</t>
  </si>
  <si>
    <t>FEFP 22-23 1st Calc</t>
  </si>
  <si>
    <t>ESSER II PALMBE @17,660.31 Julia Willis and Patricia Butherus salary</t>
  </si>
  <si>
    <t>ESSER II PBPA @ 7,664.17 Crystal Fuller and Karen Parham salary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</si>
</sst>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0000"/>
    <numFmt numFmtId="166" formatCode="0000"/>
    <numFmt numFmtId="167" formatCode="000"/>
    <numFmt numFmtId="168" formatCode="_(* #,##0.00_);_(* \(#,##0.00\);_(* &quot;-&quot;_);_(@_)"/>
    <numFmt numFmtId="169" formatCode="#,##0.000_);[Red]\(#,##0.000\)"/>
  </numFmts>
  <fonts count="49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name val="Arial"/>
      <family val="2"/>
    </font>
    <font>
      <sz val="8"/>
      <color indexed="8"/>
      <name val="Tahoma"/>
      <family val="2"/>
    </font>
    <font>
      <b/>
      <u/>
      <sz val="10"/>
      <name val="Tahoma"/>
      <family val="2"/>
    </font>
    <font>
      <sz val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8"/>
      <color indexed="8"/>
      <name val="Arial"/>
      <family val="2"/>
    </font>
    <font>
      <sz val="10"/>
      <color rgb="FFFF0000"/>
      <name val="Tahoma"/>
      <family val="2"/>
    </font>
    <font>
      <u/>
      <sz val="10"/>
      <name val="Tahoma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9"/>
      <color indexed="8"/>
      <name val="Tahoma"/>
      <family val="2"/>
    </font>
    <font>
      <sz val="10"/>
      <name val="MS Sans Serif"/>
      <family val="2"/>
    </font>
    <font>
      <b/>
      <sz val="9"/>
      <name val="Tahoma"/>
      <family val="2"/>
    </font>
    <font>
      <b/>
      <u/>
      <sz val="9"/>
      <name val="Tahoma"/>
      <family val="2"/>
    </font>
    <font>
      <sz val="9"/>
      <color indexed="8"/>
      <name val="MS Sans Serif"/>
    </font>
    <font>
      <sz val="9"/>
      <name val="Tahoma"/>
      <family val="2"/>
    </font>
    <font>
      <u/>
      <sz val="9"/>
      <name val="Tahoma"/>
      <family val="2"/>
    </font>
    <font>
      <b/>
      <sz val="8"/>
      <color theme="1"/>
      <name val="Arial"/>
      <family val="2"/>
    </font>
    <font>
      <u/>
      <sz val="10"/>
      <color indexed="12"/>
      <name val="Arial"/>
      <family val="2"/>
    </font>
    <font>
      <b/>
      <u val="singleAccounting"/>
      <sz val="10"/>
      <name val="Tahoma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Tahoma"/>
      <family val="2"/>
    </font>
    <font>
      <sz val="11"/>
      <color rgb="FF000000"/>
      <name val="Calibri"/>
      <family val="2"/>
      <charset val="204"/>
    </font>
    <font>
      <sz val="10"/>
      <color theme="1"/>
      <name val="Tahoma"/>
      <family val="2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93">
    <xf numFmtId="0" fontId="0" fillId="0" borderId="0"/>
    <xf numFmtId="40" fontId="18" fillId="0" borderId="0" applyFont="0" applyFill="0" applyProtection="0"/>
    <xf numFmtId="0" fontId="19" fillId="0" borderId="0"/>
    <xf numFmtId="0" fontId="19" fillId="0" borderId="0"/>
    <xf numFmtId="9" fontId="18" fillId="0" borderId="0" applyFont="0" applyFill="0" applyProtection="0"/>
    <xf numFmtId="44" fontId="22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7" fillId="0" borderId="0"/>
    <xf numFmtId="0" fontId="16" fillId="0" borderId="0"/>
    <xf numFmtId="0" fontId="15" fillId="0" borderId="0"/>
    <xf numFmtId="43" fontId="15" fillId="0" borderId="0" applyFont="0" applyFill="0" applyBorder="0" applyAlignment="0" applyProtection="0"/>
    <xf numFmtId="0" fontId="32" fillId="0" borderId="0"/>
    <xf numFmtId="0" fontId="14" fillId="0" borderId="0"/>
    <xf numFmtId="0" fontId="13" fillId="0" borderId="0"/>
    <xf numFmtId="0" fontId="12" fillId="0" borderId="0"/>
    <xf numFmtId="0" fontId="12" fillId="0" borderId="0"/>
    <xf numFmtId="0" fontId="11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9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9" fillId="0" borderId="0"/>
    <xf numFmtId="0" fontId="10" fillId="0" borderId="0"/>
    <xf numFmtId="0" fontId="10" fillId="0" borderId="0"/>
    <xf numFmtId="0" fontId="19" fillId="0" borderId="0"/>
    <xf numFmtId="0" fontId="10" fillId="0" borderId="0"/>
    <xf numFmtId="0" fontId="34" fillId="0" borderId="0"/>
    <xf numFmtId="0" fontId="10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44" fontId="8" fillId="0" borderId="0" applyFon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6" fillId="0" borderId="0"/>
    <xf numFmtId="0" fontId="5" fillId="0" borderId="0"/>
    <xf numFmtId="0" fontId="4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0"/>
  </cellStyleXfs>
  <cellXfs count="279">
    <xf numFmtId="0" fontId="0" fillId="0" borderId="0" xfId="0"/>
    <xf numFmtId="0" fontId="20" fillId="0" borderId="0" xfId="2" applyFont="1"/>
    <xf numFmtId="0" fontId="20" fillId="0" borderId="0" xfId="2" applyFont="1" applyAlignment="1"/>
    <xf numFmtId="0" fontId="25" fillId="0" borderId="0" xfId="2" applyFont="1"/>
    <xf numFmtId="0" fontId="20" fillId="0" borderId="0" xfId="2" applyFont="1" applyBorder="1"/>
    <xf numFmtId="0" fontId="21" fillId="0" borderId="0" xfId="2" applyFont="1" applyBorder="1"/>
    <xf numFmtId="0" fontId="23" fillId="0" borderId="0" xfId="2" applyFont="1"/>
    <xf numFmtId="0" fontId="21" fillId="0" borderId="0" xfId="2" applyFont="1" applyBorder="1" applyAlignment="1">
      <alignment horizontal="center"/>
    </xf>
    <xf numFmtId="0" fontId="21" fillId="0" borderId="0" xfId="2" applyFont="1" applyAlignment="1">
      <alignment horizontal="right"/>
    </xf>
    <xf numFmtId="0" fontId="20" fillId="0" borderId="0" xfId="2" applyFont="1" applyAlignment="1">
      <alignment horizontal="center"/>
    </xf>
    <xf numFmtId="0" fontId="20" fillId="0" borderId="0" xfId="2" applyFont="1" applyBorder="1" applyAlignment="1">
      <alignment horizontal="center"/>
    </xf>
    <xf numFmtId="41" fontId="21" fillId="0" borderId="0" xfId="1" applyNumberFormat="1" applyFont="1" applyFill="1"/>
    <xf numFmtId="0" fontId="27" fillId="0" borderId="0" xfId="0" applyFont="1"/>
    <xf numFmtId="38" fontId="27" fillId="0" borderId="0" xfId="0" applyNumberFormat="1" applyFont="1"/>
    <xf numFmtId="38" fontId="27" fillId="0" borderId="0" xfId="1" applyNumberFormat="1" applyFont="1" applyFill="1"/>
    <xf numFmtId="38" fontId="27" fillId="0" borderId="3" xfId="0" applyNumberFormat="1" applyFont="1" applyBorder="1"/>
    <xf numFmtId="164" fontId="21" fillId="0" borderId="0" xfId="0" applyNumberFormat="1" applyFont="1" applyAlignment="1" applyProtection="1">
      <alignment horizontal="center"/>
      <protection locked="0"/>
    </xf>
    <xf numFmtId="164" fontId="21" fillId="0" borderId="0" xfId="0" applyNumberFormat="1" applyFont="1" applyAlignment="1" applyProtection="1">
      <alignment horizontal="left"/>
      <protection locked="0"/>
    </xf>
    <xf numFmtId="40" fontId="21" fillId="0" borderId="0" xfId="1" applyFont="1" applyProtection="1">
      <protection locked="0"/>
    </xf>
    <xf numFmtId="0" fontId="27" fillId="0" borderId="0" xfId="0" applyFont="1" applyAlignment="1">
      <alignment horizontal="center"/>
    </xf>
    <xf numFmtId="38" fontId="26" fillId="0" borderId="0" xfId="1" applyNumberFormat="1" applyFont="1"/>
    <xf numFmtId="38" fontId="26" fillId="0" borderId="0" xfId="1" applyNumberFormat="1" applyFont="1" applyFill="1"/>
    <xf numFmtId="38" fontId="26" fillId="0" borderId="3" xfId="0" applyNumberFormat="1" applyFont="1" applyFill="1" applyBorder="1" applyAlignment="1">
      <alignment horizontal="center"/>
    </xf>
    <xf numFmtId="38" fontId="26" fillId="0" borderId="3" xfId="0" applyNumberFormat="1" applyFont="1" applyFill="1" applyBorder="1"/>
    <xf numFmtId="165" fontId="27" fillId="0" borderId="0" xfId="0" applyNumberFormat="1" applyFont="1" applyAlignment="1">
      <alignment horizontal="left"/>
    </xf>
    <xf numFmtId="40" fontId="27" fillId="0" borderId="0" xfId="1" applyFont="1" applyFill="1"/>
    <xf numFmtId="1" fontId="27" fillId="0" borderId="0" xfId="0" applyNumberFormat="1" applyFont="1" applyAlignment="1">
      <alignment horizontal="left"/>
    </xf>
    <xf numFmtId="10" fontId="27" fillId="0" borderId="0" xfId="4" applyNumberFormat="1" applyFont="1"/>
    <xf numFmtId="0" fontId="20" fillId="0" borderId="5" xfId="3" applyFont="1" applyFill="1" applyBorder="1"/>
    <xf numFmtId="0" fontId="26" fillId="0" borderId="6" xfId="0" applyFont="1" applyFill="1" applyBorder="1"/>
    <xf numFmtId="0" fontId="26" fillId="0" borderId="2" xfId="0" applyFont="1" applyFill="1" applyBorder="1"/>
    <xf numFmtId="0" fontId="27" fillId="0" borderId="0" xfId="0" applyFont="1" applyBorder="1" applyAlignment="1">
      <alignment horizontal="center"/>
    </xf>
    <xf numFmtId="0" fontId="27" fillId="0" borderId="6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7" fillId="0" borderId="0" xfId="0" applyFont="1" applyFill="1"/>
    <xf numFmtId="0" fontId="27" fillId="0" borderId="7" xfId="0" applyFont="1" applyBorder="1" applyAlignment="1">
      <alignment horizontal="center"/>
    </xf>
    <xf numFmtId="0" fontId="28" fillId="0" borderId="0" xfId="0" applyFont="1"/>
    <xf numFmtId="41" fontId="21" fillId="0" borderId="4" xfId="1" applyNumberFormat="1" applyFont="1" applyBorder="1"/>
    <xf numFmtId="40" fontId="27" fillId="0" borderId="0" xfId="0" applyNumberFormat="1" applyFont="1" applyFill="1" applyBorder="1"/>
    <xf numFmtId="40" fontId="27" fillId="0" borderId="0" xfId="1" applyFont="1"/>
    <xf numFmtId="0" fontId="26" fillId="0" borderId="0" xfId="0" applyFont="1" applyFill="1" applyBorder="1"/>
    <xf numFmtId="0" fontId="26" fillId="0" borderId="6" xfId="0" quotePrefix="1" applyFont="1" applyFill="1" applyBorder="1"/>
    <xf numFmtId="38" fontId="26" fillId="0" borderId="0" xfId="0" applyNumberFormat="1" applyFont="1" applyFill="1" applyBorder="1" applyAlignment="1">
      <alignment horizontal="center"/>
    </xf>
    <xf numFmtId="0" fontId="27" fillId="0" borderId="8" xfId="0" applyFont="1" applyFill="1" applyBorder="1"/>
    <xf numFmtId="0" fontId="26" fillId="0" borderId="8" xfId="0" applyFont="1" applyFill="1" applyBorder="1"/>
    <xf numFmtId="1" fontId="26" fillId="0" borderId="6" xfId="0" quotePrefix="1" applyNumberFormat="1" applyFont="1" applyFill="1" applyBorder="1" applyAlignment="1">
      <alignment horizontal="left"/>
    </xf>
    <xf numFmtId="38" fontId="27" fillId="0" borderId="0" xfId="0" applyNumberFormat="1" applyFont="1" applyBorder="1"/>
    <xf numFmtId="0" fontId="20" fillId="0" borderId="0" xfId="0" applyFont="1" applyAlignment="1">
      <alignment horizontal="left"/>
    </xf>
    <xf numFmtId="0" fontId="21" fillId="0" borderId="0" xfId="0" applyFont="1" applyAlignment="1"/>
    <xf numFmtId="41" fontId="21" fillId="0" borderId="0" xfId="1" applyNumberFormat="1" applyFont="1" applyBorder="1"/>
    <xf numFmtId="41" fontId="21" fillId="0" borderId="2" xfId="1" applyNumberFormat="1" applyFont="1" applyBorder="1"/>
    <xf numFmtId="166" fontId="27" fillId="0" borderId="0" xfId="0" applyNumberFormat="1" applyFont="1"/>
    <xf numFmtId="167" fontId="27" fillId="0" borderId="0" xfId="0" applyNumberFormat="1" applyFont="1"/>
    <xf numFmtId="0" fontId="26" fillId="0" borderId="1" xfId="0" applyFont="1" applyFill="1" applyBorder="1" applyAlignment="1">
      <alignment horizontal="center" wrapText="1"/>
    </xf>
    <xf numFmtId="0" fontId="27" fillId="0" borderId="0" xfId="0" applyFont="1" applyAlignment="1">
      <alignment wrapText="1"/>
    </xf>
    <xf numFmtId="0" fontId="24" fillId="0" borderId="0" xfId="2" applyFont="1" applyAlignment="1">
      <alignment horizontal="center"/>
    </xf>
    <xf numFmtId="43" fontId="27" fillId="0" borderId="0" xfId="0" applyNumberFormat="1" applyFont="1"/>
    <xf numFmtId="41" fontId="20" fillId="0" borderId="0" xfId="2" applyNumberFormat="1" applyFont="1" applyProtection="1">
      <protection locked="0"/>
    </xf>
    <xf numFmtId="41" fontId="28" fillId="0" borderId="0" xfId="1" applyNumberFormat="1" applyFont="1"/>
    <xf numFmtId="9" fontId="28" fillId="0" borderId="0" xfId="4" applyFont="1"/>
    <xf numFmtId="38" fontId="20" fillId="0" borderId="0" xfId="1" applyNumberFormat="1" applyFont="1" applyFill="1" applyProtection="1"/>
    <xf numFmtId="38" fontId="26" fillId="0" borderId="0" xfId="1" applyNumberFormat="1" applyFont="1" applyFill="1" applyProtection="1"/>
    <xf numFmtId="38" fontId="27" fillId="0" borderId="0" xfId="1" applyNumberFormat="1" applyFont="1" applyFill="1" applyProtection="1"/>
    <xf numFmtId="0" fontId="27" fillId="0" borderId="0" xfId="0" applyFont="1" applyProtection="1"/>
    <xf numFmtId="41" fontId="27" fillId="0" borderId="0" xfId="0" applyNumberFormat="1" applyFont="1" applyProtection="1"/>
    <xf numFmtId="38" fontId="27" fillId="0" borderId="0" xfId="0" applyNumberFormat="1" applyFont="1" applyProtection="1"/>
    <xf numFmtId="43" fontId="27" fillId="0" borderId="0" xfId="0" applyNumberFormat="1" applyFont="1" applyProtection="1"/>
    <xf numFmtId="9" fontId="27" fillId="0" borderId="0" xfId="4" applyFont="1" applyProtection="1"/>
    <xf numFmtId="0" fontId="21" fillId="0" borderId="0" xfId="2" applyFont="1" applyAlignment="1" applyProtection="1"/>
    <xf numFmtId="16" fontId="21" fillId="0" borderId="0" xfId="2" applyNumberFormat="1" applyFont="1" applyAlignment="1" applyProtection="1"/>
    <xf numFmtId="16" fontId="21" fillId="0" borderId="0" xfId="2" applyNumberFormat="1" applyFont="1" applyAlignment="1" applyProtection="1">
      <alignment horizontal="center"/>
    </xf>
    <xf numFmtId="41" fontId="21" fillId="0" borderId="0" xfId="1" applyNumberFormat="1" applyFont="1" applyProtection="1"/>
    <xf numFmtId="0" fontId="21" fillId="0" borderId="2" xfId="2" applyFont="1" applyBorder="1" applyProtection="1"/>
    <xf numFmtId="0" fontId="21" fillId="0" borderId="2" xfId="2" applyFont="1" applyBorder="1" applyAlignment="1" applyProtection="1">
      <alignment horizontal="center"/>
    </xf>
    <xf numFmtId="0" fontId="25" fillId="0" borderId="0" xfId="2" applyFont="1" applyBorder="1" applyProtection="1"/>
    <xf numFmtId="0" fontId="20" fillId="0" borderId="0" xfId="2" applyFont="1" applyBorder="1" applyProtection="1"/>
    <xf numFmtId="41" fontId="21" fillId="0" borderId="0" xfId="1" applyNumberFormat="1" applyFont="1" applyFill="1" applyProtection="1"/>
    <xf numFmtId="0" fontId="20" fillId="0" borderId="0" xfId="2" applyFont="1" applyProtection="1"/>
    <xf numFmtId="0" fontId="20" fillId="0" borderId="0" xfId="2" applyFont="1" applyAlignment="1" applyProtection="1"/>
    <xf numFmtId="0" fontId="25" fillId="0" borderId="0" xfId="2" applyFont="1" applyProtection="1"/>
    <xf numFmtId="0" fontId="24" fillId="0" borderId="0" xfId="2" applyFont="1" applyAlignment="1" applyProtection="1">
      <alignment horizontal="left"/>
    </xf>
    <xf numFmtId="41" fontId="20" fillId="0" borderId="0" xfId="1" applyNumberFormat="1" applyFont="1" applyFill="1" applyProtection="1"/>
    <xf numFmtId="0" fontId="24" fillId="0" borderId="0" xfId="2" applyFont="1" applyProtection="1"/>
    <xf numFmtId="166" fontId="27" fillId="0" borderId="0" xfId="0" applyNumberFormat="1" applyFont="1" applyProtection="1"/>
    <xf numFmtId="167" fontId="27" fillId="0" borderId="0" xfId="0" applyNumberFormat="1" applyFont="1" applyProtection="1"/>
    <xf numFmtId="0" fontId="21" fillId="0" borderId="0" xfId="2" applyFont="1" applyAlignment="1" applyProtection="1">
      <alignment horizontal="right"/>
    </xf>
    <xf numFmtId="41" fontId="20" fillId="0" borderId="3" xfId="1" applyNumberFormat="1" applyFont="1" applyBorder="1" applyProtection="1"/>
    <xf numFmtId="0" fontId="21" fillId="0" borderId="0" xfId="2" applyFont="1" applyProtection="1"/>
    <xf numFmtId="41" fontId="20" fillId="0" borderId="0" xfId="1" applyNumberFormat="1" applyFont="1" applyProtection="1"/>
    <xf numFmtId="0" fontId="25" fillId="0" borderId="0" xfId="2" applyFont="1" applyAlignment="1" applyProtection="1"/>
    <xf numFmtId="0" fontId="23" fillId="0" borderId="0" xfId="2" applyFont="1" applyProtection="1"/>
    <xf numFmtId="0" fontId="27" fillId="0" borderId="0" xfId="2" applyFont="1" applyProtection="1"/>
    <xf numFmtId="41" fontId="20" fillId="0" borderId="0" xfId="1" applyNumberFormat="1" applyFont="1" applyBorder="1" applyProtection="1"/>
    <xf numFmtId="0" fontId="25" fillId="0" borderId="0" xfId="2" applyFont="1" applyAlignment="1" applyProtection="1">
      <alignment horizontal="left"/>
    </xf>
    <xf numFmtId="41" fontId="21" fillId="0" borderId="3" xfId="1" applyNumberFormat="1" applyFont="1" applyBorder="1" applyProtection="1"/>
    <xf numFmtId="41" fontId="21" fillId="0" borderId="4" xfId="1" applyNumberFormat="1" applyFont="1" applyBorder="1" applyProtection="1"/>
    <xf numFmtId="40" fontId="20" fillId="0" borderId="0" xfId="1" applyNumberFormat="1" applyFont="1" applyFill="1" applyProtection="1">
      <protection locked="0"/>
    </xf>
    <xf numFmtId="40" fontId="27" fillId="0" borderId="0" xfId="1" applyNumberFormat="1" applyFont="1" applyFill="1"/>
    <xf numFmtId="9" fontId="20" fillId="0" borderId="0" xfId="4" applyFont="1" applyFill="1" applyProtection="1"/>
    <xf numFmtId="0" fontId="27" fillId="0" borderId="0" xfId="0" applyFont="1" applyFill="1" applyProtection="1"/>
    <xf numFmtId="0" fontId="20" fillId="0" borderId="0" xfId="2" applyFont="1" applyFill="1" applyAlignment="1">
      <alignment horizontal="center"/>
    </xf>
    <xf numFmtId="38" fontId="27" fillId="0" borderId="0" xfId="0" applyNumberFormat="1" applyFont="1" applyFill="1"/>
    <xf numFmtId="10" fontId="27" fillId="0" borderId="0" xfId="4" applyNumberFormat="1" applyFont="1" applyProtection="1"/>
    <xf numFmtId="41" fontId="20" fillId="0" borderId="0" xfId="1" applyNumberFormat="1" applyFont="1" applyFill="1"/>
    <xf numFmtId="41" fontId="21" fillId="0" borderId="2" xfId="1" applyNumberFormat="1" applyFont="1" applyFill="1" applyBorder="1" applyProtection="1"/>
    <xf numFmtId="41" fontId="21" fillId="0" borderId="0" xfId="1" applyNumberFormat="1" applyFont="1" applyFill="1" applyAlignment="1">
      <alignment horizontal="left"/>
    </xf>
    <xf numFmtId="0" fontId="27" fillId="0" borderId="0" xfId="0" applyFont="1" applyAlignment="1">
      <alignment horizontal="right"/>
    </xf>
    <xf numFmtId="38" fontId="27" fillId="0" borderId="0" xfId="1" applyNumberFormat="1" applyFont="1" applyAlignment="1">
      <alignment horizontal="right"/>
    </xf>
    <xf numFmtId="0" fontId="28" fillId="0" borderId="0" xfId="0" applyFont="1" applyFill="1"/>
    <xf numFmtId="0" fontId="31" fillId="0" borderId="0" xfId="0" applyFont="1" applyFill="1" applyAlignment="1">
      <alignment horizontal="left" indent="1"/>
    </xf>
    <xf numFmtId="0" fontId="20" fillId="0" borderId="0" xfId="2" applyFont="1" applyFill="1"/>
    <xf numFmtId="41" fontId="31" fillId="0" borderId="0" xfId="0" applyNumberFormat="1" applyFont="1" applyFill="1"/>
    <xf numFmtId="41" fontId="28" fillId="0" borderId="0" xfId="0" applyNumberFormat="1" applyFont="1" applyFill="1"/>
    <xf numFmtId="0" fontId="27" fillId="3" borderId="0" xfId="0" applyFont="1" applyFill="1"/>
    <xf numFmtId="0" fontId="20" fillId="0" borderId="0" xfId="0" applyFont="1" applyFill="1" applyProtection="1"/>
    <xf numFmtId="38" fontId="20" fillId="0" borderId="0" xfId="2" applyNumberFormat="1" applyFont="1"/>
    <xf numFmtId="0" fontId="21" fillId="0" borderId="0" xfId="2" applyFont="1" applyAlignment="1">
      <alignment horizontal="center"/>
    </xf>
    <xf numFmtId="41" fontId="28" fillId="3" borderId="0" xfId="1" applyNumberFormat="1" applyFont="1" applyFill="1"/>
    <xf numFmtId="0" fontId="31" fillId="0" borderId="0" xfId="0" applyFont="1" applyFill="1"/>
    <xf numFmtId="40" fontId="20" fillId="0" borderId="0" xfId="1" applyNumberFormat="1" applyFont="1" applyFill="1" applyProtection="1"/>
    <xf numFmtId="41" fontId="28" fillId="0" borderId="0" xfId="1" applyNumberFormat="1" applyFont="1" applyAlignment="1">
      <alignment horizontal="center"/>
    </xf>
    <xf numFmtId="41" fontId="28" fillId="0" borderId="0" xfId="1" applyNumberFormat="1" applyFont="1" applyFill="1"/>
    <xf numFmtId="41" fontId="28" fillId="0" borderId="0" xfId="0" applyNumberFormat="1" applyFont="1"/>
    <xf numFmtId="0" fontId="20" fillId="0" borderId="0" xfId="3" applyFont="1" applyFill="1" applyBorder="1"/>
    <xf numFmtId="0" fontId="21" fillId="0" borderId="2" xfId="0" applyFont="1" applyFill="1" applyBorder="1"/>
    <xf numFmtId="0" fontId="27" fillId="0" borderId="0" xfId="0" applyFont="1" applyAlignment="1">
      <alignment horizontal="center"/>
    </xf>
    <xf numFmtId="0" fontId="20" fillId="0" borderId="0" xfId="0" applyFont="1" applyFill="1"/>
    <xf numFmtId="38" fontId="20" fillId="0" borderId="0" xfId="1" applyNumberFormat="1" applyFont="1" applyFill="1" applyProtection="1">
      <protection locked="0"/>
    </xf>
    <xf numFmtId="38" fontId="27" fillId="0" borderId="0" xfId="1" applyNumberFormat="1" applyFont="1" applyAlignment="1">
      <alignment horizontal="center"/>
    </xf>
    <xf numFmtId="0" fontId="20" fillId="0" borderId="0" xfId="2" applyFont="1"/>
    <xf numFmtId="41" fontId="20" fillId="0" borderId="0" xfId="2" applyNumberFormat="1" applyFont="1"/>
    <xf numFmtId="0" fontId="20" fillId="2" borderId="0" xfId="2" applyFont="1" applyFill="1" applyAlignment="1">
      <alignment horizontal="center"/>
    </xf>
    <xf numFmtId="41" fontId="20" fillId="0" borderId="0" xfId="1" applyNumberFormat="1" applyFont="1"/>
    <xf numFmtId="41" fontId="20" fillId="0" borderId="3" xfId="1" applyNumberFormat="1" applyFont="1" applyBorder="1"/>
    <xf numFmtId="0" fontId="27" fillId="0" borderId="0" xfId="0" applyFont="1"/>
    <xf numFmtId="38" fontId="27" fillId="0" borderId="0" xfId="1" applyNumberFormat="1" applyFont="1"/>
    <xf numFmtId="41" fontId="27" fillId="0" borderId="0" xfId="0" applyNumberFormat="1" applyFont="1"/>
    <xf numFmtId="0" fontId="20" fillId="3" borderId="0" xfId="2" applyFont="1" applyFill="1" applyAlignment="1">
      <alignment horizontal="center"/>
    </xf>
    <xf numFmtId="9" fontId="28" fillId="3" borderId="0" xfId="4" applyFont="1" applyFill="1"/>
    <xf numFmtId="0" fontId="30" fillId="0" borderId="0" xfId="3" applyFont="1" applyFill="1" applyBorder="1" applyAlignment="1">
      <alignment horizontal="left" indent="2"/>
    </xf>
    <xf numFmtId="41" fontId="27" fillId="0" borderId="0" xfId="0" applyNumberFormat="1" applyFont="1" applyFill="1" applyProtection="1"/>
    <xf numFmtId="0" fontId="35" fillId="0" borderId="0" xfId="2" applyFont="1" applyAlignment="1">
      <alignment horizontal="center"/>
    </xf>
    <xf numFmtId="0" fontId="36" fillId="0" borderId="0" xfId="2" applyFont="1" applyAlignment="1">
      <alignment horizontal="center"/>
    </xf>
    <xf numFmtId="0" fontId="35" fillId="0" borderId="0" xfId="2" applyFont="1" applyBorder="1" applyAlignment="1">
      <alignment horizontal="center"/>
    </xf>
    <xf numFmtId="0" fontId="36" fillId="0" borderId="0" xfId="2" applyFont="1" applyBorder="1" applyAlignment="1">
      <alignment horizontal="center"/>
    </xf>
    <xf numFmtId="0" fontId="21" fillId="0" borderId="0" xfId="2" applyFont="1" applyFill="1"/>
    <xf numFmtId="165" fontId="27" fillId="0" borderId="0" xfId="0" applyNumberFormat="1" applyFont="1" applyFill="1" applyAlignment="1">
      <alignment horizontal="left"/>
    </xf>
    <xf numFmtId="43" fontId="20" fillId="0" borderId="0" xfId="2" applyNumberFormat="1" applyFont="1" applyAlignment="1">
      <alignment horizontal="center"/>
    </xf>
    <xf numFmtId="164" fontId="21" fillId="0" borderId="1" xfId="0" applyNumberFormat="1" applyFont="1" applyFill="1" applyBorder="1" applyAlignment="1" applyProtection="1">
      <alignment horizontal="center"/>
      <protection locked="0"/>
    </xf>
    <xf numFmtId="0" fontId="24" fillId="0" borderId="0" xfId="3" applyFont="1" applyFill="1" applyBorder="1" applyAlignment="1">
      <alignment horizontal="left" indent="2"/>
    </xf>
    <xf numFmtId="0" fontId="24" fillId="0" borderId="0" xfId="0" applyFont="1" applyFill="1" applyAlignment="1">
      <alignment horizontal="left" indent="2"/>
    </xf>
    <xf numFmtId="0" fontId="20" fillId="0" borderId="0" xfId="2" applyFont="1" applyFill="1" applyBorder="1"/>
    <xf numFmtId="43" fontId="20" fillId="0" borderId="0" xfId="2" applyNumberFormat="1" applyFont="1"/>
    <xf numFmtId="0" fontId="21" fillId="0" borderId="0" xfId="2" applyFont="1"/>
    <xf numFmtId="41" fontId="27" fillId="0" borderId="0" xfId="0" applyNumberFormat="1" applyFont="1" applyFill="1"/>
    <xf numFmtId="43" fontId="28" fillId="0" borderId="0" xfId="0" applyNumberFormat="1" applyFont="1" applyFill="1" applyBorder="1"/>
    <xf numFmtId="41" fontId="28" fillId="0" borderId="0" xfId="0" applyNumberFormat="1" applyFont="1" applyBorder="1"/>
    <xf numFmtId="38" fontId="27" fillId="0" borderId="0" xfId="1" applyNumberFormat="1" applyFont="1" applyBorder="1"/>
    <xf numFmtId="38" fontId="27" fillId="0" borderId="0" xfId="1" applyNumberFormat="1" applyFont="1" applyFill="1" applyBorder="1"/>
    <xf numFmtId="0" fontId="27" fillId="0" borderId="0" xfId="0" applyFont="1" applyBorder="1"/>
    <xf numFmtId="41" fontId="28" fillId="0" borderId="0" xfId="0" applyNumberFormat="1" applyFont="1" applyFill="1" applyBorder="1"/>
    <xf numFmtId="0" fontId="27" fillId="0" borderId="0" xfId="0" applyFont="1" applyFill="1" applyAlignment="1">
      <alignment horizontal="center"/>
    </xf>
    <xf numFmtId="38" fontId="27" fillId="0" borderId="0" xfId="1" applyNumberFormat="1" applyFont="1" applyFill="1" applyAlignment="1">
      <alignment horizontal="center"/>
    </xf>
    <xf numFmtId="0" fontId="33" fillId="0" borderId="1" xfId="0" applyFont="1" applyFill="1" applyBorder="1" applyAlignment="1">
      <alignment horizontal="center" wrapText="1"/>
    </xf>
    <xf numFmtId="10" fontId="27" fillId="0" borderId="0" xfId="4" applyNumberFormat="1" applyFont="1" applyFill="1" applyProtection="1"/>
    <xf numFmtId="41" fontId="28" fillId="0" borderId="0" xfId="1" applyNumberFormat="1" applyFont="1" applyFill="1" applyAlignment="1">
      <alignment horizontal="center"/>
    </xf>
    <xf numFmtId="0" fontId="29" fillId="0" borderId="0" xfId="0" applyFont="1" applyFill="1"/>
    <xf numFmtId="9" fontId="28" fillId="0" borderId="0" xfId="4" applyFont="1" applyFill="1"/>
    <xf numFmtId="41" fontId="20" fillId="0" borderId="0" xfId="2" applyNumberFormat="1" applyFont="1" applyAlignment="1">
      <alignment horizontal="center"/>
    </xf>
    <xf numFmtId="164" fontId="21" fillId="0" borderId="7" xfId="0" applyNumberFormat="1" applyFont="1" applyFill="1" applyBorder="1" applyAlignment="1" applyProtection="1">
      <alignment horizontal="center" wrapText="1"/>
      <protection locked="0"/>
    </xf>
    <xf numFmtId="164" fontId="21" fillId="0" borderId="9" xfId="0" applyNumberFormat="1" applyFont="1" applyFill="1" applyBorder="1" applyAlignment="1" applyProtection="1">
      <alignment horizontal="center" wrapText="1"/>
      <protection locked="0"/>
    </xf>
    <xf numFmtId="164" fontId="21" fillId="0" borderId="1" xfId="0" applyNumberFormat="1" applyFont="1" applyFill="1" applyBorder="1" applyAlignment="1" applyProtection="1">
      <alignment horizontal="center" wrapText="1"/>
      <protection locked="0"/>
    </xf>
    <xf numFmtId="0" fontId="27" fillId="0" borderId="0" xfId="0" applyFont="1" applyAlignment="1">
      <alignment horizontal="left" indent="1"/>
    </xf>
    <xf numFmtId="0" fontId="27" fillId="0" borderId="0" xfId="0" applyFont="1" applyFill="1" applyAlignment="1">
      <alignment horizontal="left" indent="1"/>
    </xf>
    <xf numFmtId="0" fontId="21" fillId="0" borderId="0" xfId="0" applyFont="1" applyFill="1" applyAlignment="1"/>
    <xf numFmtId="164" fontId="21" fillId="0" borderId="0" xfId="0" applyNumberFormat="1" applyFont="1" applyFill="1" applyAlignment="1" applyProtection="1">
      <alignment horizontal="center"/>
      <protection locked="0"/>
    </xf>
    <xf numFmtId="0" fontId="0" fillId="0" borderId="0" xfId="0" applyFont="1" applyFill="1"/>
    <xf numFmtId="0" fontId="19" fillId="0" borderId="0" xfId="0" applyFont="1" applyFill="1"/>
    <xf numFmtId="0" fontId="0" fillId="0" borderId="0" xfId="0" applyFont="1" applyFill="1" applyBorder="1"/>
    <xf numFmtId="41" fontId="28" fillId="3" borderId="0" xfId="0" applyNumberFormat="1" applyFont="1" applyFill="1"/>
    <xf numFmtId="0" fontId="20" fillId="3" borderId="0" xfId="2" applyFont="1" applyFill="1"/>
    <xf numFmtId="168" fontId="21" fillId="0" borderId="0" xfId="1" applyNumberFormat="1" applyFont="1" applyBorder="1"/>
    <xf numFmtId="0" fontId="21" fillId="0" borderId="0" xfId="0" applyFont="1" applyFill="1" applyBorder="1"/>
    <xf numFmtId="168" fontId="20" fillId="0" borderId="0" xfId="2" applyNumberFormat="1" applyFont="1"/>
    <xf numFmtId="38" fontId="20" fillId="0" borderId="0" xfId="1" applyNumberFormat="1" applyFont="1" applyFill="1" applyBorder="1" applyProtection="1"/>
    <xf numFmtId="0" fontId="27" fillId="0" borderId="0" xfId="0" applyFont="1" applyFill="1" applyBorder="1"/>
    <xf numFmtId="38" fontId="27" fillId="0" borderId="0" xfId="0" applyNumberFormat="1" applyFont="1" applyBorder="1" applyProtection="1"/>
    <xf numFmtId="38" fontId="27" fillId="0" borderId="0" xfId="0" applyNumberFormat="1" applyFont="1" applyFill="1" applyBorder="1" applyProtection="1"/>
    <xf numFmtId="41" fontId="27" fillId="0" borderId="0" xfId="0" applyNumberFormat="1" applyFont="1" applyFill="1" applyBorder="1"/>
    <xf numFmtId="41" fontId="27" fillId="0" borderId="0" xfId="0" applyNumberFormat="1" applyFont="1" applyBorder="1" applyProtection="1"/>
    <xf numFmtId="41" fontId="27" fillId="0" borderId="0" xfId="0" applyNumberFormat="1" applyFont="1" applyFill="1" applyBorder="1" applyProtection="1"/>
    <xf numFmtId="38" fontId="26" fillId="0" borderId="0" xfId="0" applyNumberFormat="1" applyFont="1" applyFill="1" applyBorder="1"/>
    <xf numFmtId="0" fontId="27" fillId="0" borderId="0" xfId="0" applyFont="1" applyBorder="1" applyProtection="1"/>
    <xf numFmtId="0" fontId="27" fillId="0" borderId="0" xfId="0" applyFont="1" applyAlignment="1">
      <alignment horizontal="left"/>
    </xf>
    <xf numFmtId="0" fontId="27" fillId="0" borderId="0" xfId="0" applyFont="1" applyFill="1" applyAlignment="1">
      <alignment horizontal="left"/>
    </xf>
    <xf numFmtId="0" fontId="27" fillId="0" borderId="0" xfId="0" applyFont="1" applyBorder="1" applyAlignment="1">
      <alignment horizontal="left"/>
    </xf>
    <xf numFmtId="0" fontId="21" fillId="0" borderId="0" xfId="2" applyFont="1" applyFill="1" applyAlignment="1">
      <alignment horizontal="center"/>
    </xf>
    <xf numFmtId="0" fontId="35" fillId="0" borderId="0" xfId="2" applyFont="1" applyFill="1" applyAlignment="1">
      <alignment horizontal="center"/>
    </xf>
    <xf numFmtId="0" fontId="21" fillId="0" borderId="0" xfId="2" applyFont="1" applyFill="1" applyBorder="1" applyAlignment="1">
      <alignment horizontal="center"/>
    </xf>
    <xf numFmtId="0" fontId="35" fillId="0" borderId="0" xfId="2" applyFont="1" applyFill="1" applyBorder="1" applyAlignment="1">
      <alignment horizontal="center"/>
    </xf>
    <xf numFmtId="0" fontId="30" fillId="0" borderId="0" xfId="2" applyFont="1" applyFill="1"/>
    <xf numFmtId="0" fontId="36" fillId="0" borderId="0" xfId="2" applyFont="1" applyFill="1" applyBorder="1" applyAlignment="1">
      <alignment horizontal="center"/>
    </xf>
    <xf numFmtId="0" fontId="37" fillId="0" borderId="0" xfId="0" applyFont="1" applyFill="1" applyAlignment="1"/>
    <xf numFmtId="0" fontId="38" fillId="0" borderId="0" xfId="2" applyFont="1" applyFill="1"/>
    <xf numFmtId="0" fontId="39" fillId="0" borderId="0" xfId="2" applyFont="1" applyFill="1"/>
    <xf numFmtId="0" fontId="38" fillId="0" borderId="0" xfId="2" applyFont="1" applyFill="1" applyBorder="1"/>
    <xf numFmtId="38" fontId="27" fillId="0" borderId="0" xfId="0" applyNumberFormat="1" applyFont="1" applyFill="1" applyBorder="1"/>
    <xf numFmtId="41" fontId="20" fillId="0" borderId="0" xfId="2" applyNumberFormat="1" applyFont="1" applyFill="1" applyProtection="1"/>
    <xf numFmtId="0" fontId="4" fillId="0" borderId="0" xfId="88"/>
    <xf numFmtId="41" fontId="4" fillId="0" borderId="0" xfId="88" applyNumberFormat="1"/>
    <xf numFmtId="0" fontId="4" fillId="0" borderId="0" xfId="88" applyFill="1"/>
    <xf numFmtId="41" fontId="4" fillId="0" borderId="0" xfId="88" applyNumberFormat="1" applyFill="1"/>
    <xf numFmtId="49" fontId="4" fillId="0" borderId="0" xfId="88" applyNumberFormat="1" applyFill="1" applyAlignment="1">
      <alignment horizontal="left"/>
    </xf>
    <xf numFmtId="49" fontId="4" fillId="0" borderId="0" xfId="88" applyNumberFormat="1" applyAlignment="1">
      <alignment horizontal="left"/>
    </xf>
    <xf numFmtId="41" fontId="27" fillId="0" borderId="0" xfId="1" applyNumberFormat="1" applyFont="1" applyFill="1"/>
    <xf numFmtId="41" fontId="20" fillId="0" borderId="0" xfId="2" applyNumberFormat="1" applyFont="1" applyFill="1"/>
    <xf numFmtId="0" fontId="28" fillId="0" borderId="0" xfId="0" applyFont="1" applyFill="1" applyAlignment="1">
      <alignment horizontal="center"/>
    </xf>
    <xf numFmtId="0" fontId="28" fillId="3" borderId="0" xfId="0" applyFont="1" applyFill="1"/>
    <xf numFmtId="40" fontId="27" fillId="3" borderId="0" xfId="1" applyFont="1" applyFill="1"/>
    <xf numFmtId="169" fontId="27" fillId="0" borderId="0" xfId="1" applyNumberFormat="1" applyFont="1" applyFill="1"/>
    <xf numFmtId="40" fontId="21" fillId="0" borderId="0" xfId="1" applyFont="1" applyFill="1" applyProtection="1">
      <protection locked="0"/>
    </xf>
    <xf numFmtId="0" fontId="20" fillId="0" borderId="0" xfId="2" applyFont="1" applyFill="1" applyProtection="1"/>
    <xf numFmtId="0" fontId="26" fillId="0" borderId="0" xfId="0" applyFont="1" applyFill="1"/>
    <xf numFmtId="0" fontId="40" fillId="0" borderId="0" xfId="0" applyFont="1" applyFill="1" applyAlignment="1">
      <alignment horizontal="left" indent="1"/>
    </xf>
    <xf numFmtId="41" fontId="43" fillId="0" borderId="0" xfId="0" applyNumberFormat="1" applyFont="1" applyFill="1"/>
    <xf numFmtId="41" fontId="44" fillId="0" borderId="0" xfId="1" applyNumberFormat="1" applyFont="1" applyFill="1"/>
    <xf numFmtId="0" fontId="23" fillId="0" borderId="0" xfId="0" applyFont="1" applyFill="1"/>
    <xf numFmtId="41" fontId="44" fillId="0" borderId="0" xfId="0" applyNumberFormat="1" applyFont="1" applyFill="1" applyAlignment="1">
      <alignment horizontal="left"/>
    </xf>
    <xf numFmtId="41" fontId="44" fillId="0" borderId="0" xfId="0" applyNumberFormat="1" applyFont="1" applyFill="1"/>
    <xf numFmtId="0" fontId="45" fillId="0" borderId="0" xfId="2" applyFont="1" applyFill="1"/>
    <xf numFmtId="0" fontId="23" fillId="0" borderId="0" xfId="0" applyFont="1"/>
    <xf numFmtId="168" fontId="20" fillId="0" borderId="0" xfId="1" applyNumberFormat="1" applyFont="1" applyProtection="1"/>
    <xf numFmtId="43" fontId="27" fillId="0" borderId="0" xfId="0" applyNumberFormat="1" applyFont="1" applyFill="1" applyProtection="1"/>
    <xf numFmtId="41" fontId="21" fillId="0" borderId="10" xfId="1" applyNumberFormat="1" applyFont="1" applyBorder="1" applyProtection="1"/>
    <xf numFmtId="41" fontId="28" fillId="0" borderId="0" xfId="1" applyNumberFormat="1" applyFont="1" applyFill="1" applyAlignment="1">
      <alignment horizontal="center" wrapText="1"/>
    </xf>
    <xf numFmtId="8" fontId="20" fillId="0" borderId="0" xfId="3" applyNumberFormat="1" applyFont="1" applyFill="1" applyBorder="1"/>
    <xf numFmtId="10" fontId="27" fillId="0" borderId="0" xfId="4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1" fillId="0" borderId="0" xfId="0" applyFont="1" applyFill="1" applyAlignment="1">
      <alignment horizontal="left"/>
    </xf>
    <xf numFmtId="49" fontId="3" fillId="0" borderId="0" xfId="88" applyNumberFormat="1" applyFont="1" applyFill="1" applyAlignment="1">
      <alignment horizontal="left"/>
    </xf>
    <xf numFmtId="9" fontId="28" fillId="0" borderId="0" xfId="0" applyNumberFormat="1" applyFont="1"/>
    <xf numFmtId="43" fontId="28" fillId="0" borderId="0" xfId="0" applyNumberFormat="1" applyFont="1" applyFill="1"/>
    <xf numFmtId="43" fontId="28" fillId="0" borderId="0" xfId="1" applyNumberFormat="1" applyFont="1" applyAlignment="1">
      <alignment horizontal="center"/>
    </xf>
    <xf numFmtId="38" fontId="29" fillId="0" borderId="0" xfId="1" applyNumberFormat="1" applyFont="1" applyFill="1" applyProtection="1">
      <protection locked="0"/>
    </xf>
    <xf numFmtId="38" fontId="29" fillId="0" borderId="0" xfId="1" applyNumberFormat="1" applyFont="1" applyFill="1" applyProtection="1"/>
    <xf numFmtId="0" fontId="21" fillId="0" borderId="0" xfId="0" applyFont="1" applyFill="1" applyAlignment="1">
      <alignment horizontal="left"/>
    </xf>
    <xf numFmtId="43" fontId="46" fillId="0" borderId="0" xfId="92" applyNumberFormat="1" applyFill="1"/>
    <xf numFmtId="0" fontId="20" fillId="5" borderId="0" xfId="3" applyFont="1" applyFill="1" applyBorder="1"/>
    <xf numFmtId="0" fontId="20" fillId="4" borderId="0" xfId="3" applyFont="1" applyFill="1" applyBorder="1"/>
    <xf numFmtId="13" fontId="28" fillId="0" borderId="0" xfId="1" applyNumberFormat="1" applyFont="1" applyFill="1"/>
    <xf numFmtId="49" fontId="1" fillId="0" borderId="0" xfId="88" applyNumberFormat="1" applyFont="1" applyAlignment="1">
      <alignment horizontal="left"/>
    </xf>
    <xf numFmtId="49" fontId="1" fillId="0" borderId="0" xfId="88" applyNumberFormat="1" applyFont="1" applyFill="1" applyAlignment="1">
      <alignment horizontal="left"/>
    </xf>
    <xf numFmtId="0" fontId="45" fillId="0" borderId="0" xfId="2" applyFont="1" applyFill="1" applyAlignment="1">
      <alignment horizontal="center"/>
    </xf>
    <xf numFmtId="0" fontId="47" fillId="0" borderId="0" xfId="3" applyFont="1" applyFill="1" applyBorder="1"/>
    <xf numFmtId="10" fontId="27" fillId="0" borderId="0" xfId="4" applyNumberFormat="1" applyFont="1" applyAlignment="1">
      <alignment horizontal="center"/>
    </xf>
    <xf numFmtId="0" fontId="20" fillId="0" borderId="0" xfId="3" applyFont="1" applyFill="1"/>
    <xf numFmtId="164" fontId="21" fillId="0" borderId="1" xfId="0" applyNumberFormat="1" applyFont="1" applyBorder="1" applyAlignment="1" applyProtection="1">
      <alignment horizontal="center"/>
      <protection locked="0"/>
    </xf>
    <xf numFmtId="0" fontId="28" fillId="3" borderId="0" xfId="0" applyFont="1" applyFill="1" applyAlignment="1">
      <alignment horizontal="center"/>
    </xf>
    <xf numFmtId="41" fontId="28" fillId="3" borderId="0" xfId="1" applyNumberFormat="1" applyFont="1" applyFill="1" applyAlignment="1">
      <alignment horizontal="center"/>
    </xf>
    <xf numFmtId="0" fontId="0" fillId="0" borderId="0" xfId="0" applyFill="1" applyAlignment="1"/>
    <xf numFmtId="0" fontId="30" fillId="0" borderId="0" xfId="2" applyFont="1" applyFill="1" applyBorder="1"/>
    <xf numFmtId="168" fontId="21" fillId="0" borderId="0" xfId="1" applyNumberFormat="1" applyFont="1" applyFill="1"/>
    <xf numFmtId="9" fontId="28" fillId="0" borderId="0" xfId="4" applyFont="1" applyFill="1" applyProtection="1">
      <protection locked="0"/>
    </xf>
    <xf numFmtId="41" fontId="20" fillId="4" borderId="0" xfId="1" applyNumberFormat="1" applyFont="1" applyFill="1"/>
    <xf numFmtId="38" fontId="20" fillId="0" borderId="0" xfId="4" applyNumberFormat="1" applyFont="1" applyFill="1" applyProtection="1"/>
    <xf numFmtId="0" fontId="20" fillId="6" borderId="0" xfId="3" applyFont="1" applyFill="1" applyBorder="1"/>
    <xf numFmtId="0" fontId="21" fillId="0" borderId="0" xfId="0" applyFont="1" applyFill="1" applyAlignment="1">
      <alignment horizontal="left"/>
    </xf>
    <xf numFmtId="0" fontId="26" fillId="0" borderId="0" xfId="0" applyFont="1" applyAlignment="1">
      <alignment horizontal="center" wrapText="1"/>
    </xf>
    <xf numFmtId="0" fontId="48" fillId="0" borderId="0" xfId="0" applyFont="1" applyAlignment="1">
      <alignment vertical="center"/>
    </xf>
    <xf numFmtId="41" fontId="42" fillId="0" borderId="0" xfId="1" applyNumberFormat="1" applyFont="1" applyAlignment="1" applyProtection="1">
      <alignment horizontal="center"/>
    </xf>
    <xf numFmtId="0" fontId="21" fillId="0" borderId="0" xfId="2" applyFont="1" applyAlignment="1" applyProtection="1">
      <alignment horizontal="center"/>
    </xf>
    <xf numFmtId="0" fontId="21" fillId="0" borderId="0" xfId="2" applyFont="1" applyAlignment="1" applyProtection="1">
      <alignment horizontal="center" wrapText="1"/>
    </xf>
    <xf numFmtId="10" fontId="27" fillId="0" borderId="0" xfId="4" applyNumberFormat="1" applyFont="1" applyAlignment="1">
      <alignment horizontal="center"/>
    </xf>
    <xf numFmtId="10" fontId="27" fillId="0" borderId="0" xfId="4" applyNumberFormat="1" applyFont="1" applyFill="1" applyAlignment="1">
      <alignment horizontal="center"/>
    </xf>
    <xf numFmtId="0" fontId="21" fillId="0" borderId="0" xfId="0" applyFont="1" applyAlignment="1">
      <alignment horizontal="left"/>
    </xf>
    <xf numFmtId="0" fontId="21" fillId="0" borderId="0" xfId="0" applyFont="1" applyFill="1" applyAlignment="1">
      <alignment horizontal="left"/>
    </xf>
    <xf numFmtId="0" fontId="26" fillId="0" borderId="0" xfId="0" applyFont="1" applyAlignment="1">
      <alignment wrapText="1"/>
    </xf>
    <xf numFmtId="41" fontId="20" fillId="0" borderId="3" xfId="1" applyNumberFormat="1" applyFont="1" applyFill="1" applyBorder="1" applyProtection="1"/>
  </cellXfs>
  <cellStyles count="93">
    <cellStyle name="Comma" xfId="1" builtinId="3"/>
    <cellStyle name="Comma 10" xfId="19" xr:uid="{00000000-0005-0000-0000-000001000000}"/>
    <cellStyle name="Comma 11" xfId="90" xr:uid="{38286C49-AE0F-4E34-B7E7-412581943992}"/>
    <cellStyle name="Comma 2" xfId="7" xr:uid="{00000000-0005-0000-0000-000002000000}"/>
    <cellStyle name="Comma 2 2" xfId="21" xr:uid="{00000000-0005-0000-0000-000003000000}"/>
    <cellStyle name="Comma 2 2 2" xfId="22" xr:uid="{00000000-0005-0000-0000-000004000000}"/>
    <cellStyle name="Comma 2 3" xfId="20" xr:uid="{00000000-0005-0000-0000-000005000000}"/>
    <cellStyle name="Comma 3" xfId="11" xr:uid="{00000000-0005-0000-0000-000006000000}"/>
    <cellStyle name="Comma 3 2" xfId="23" xr:uid="{00000000-0005-0000-0000-000007000000}"/>
    <cellStyle name="Comma 4" xfId="24" xr:uid="{00000000-0005-0000-0000-000008000000}"/>
    <cellStyle name="Comma 4 2" xfId="25" xr:uid="{00000000-0005-0000-0000-000009000000}"/>
    <cellStyle name="Comma 4 3" xfId="26" xr:uid="{00000000-0005-0000-0000-00000A000000}"/>
    <cellStyle name="Comma 4 4" xfId="27" xr:uid="{00000000-0005-0000-0000-00000B000000}"/>
    <cellStyle name="Comma 5" xfId="28" xr:uid="{00000000-0005-0000-0000-00000C000000}"/>
    <cellStyle name="Comma 5 2" xfId="29" xr:uid="{00000000-0005-0000-0000-00000D000000}"/>
    <cellStyle name="Comma 5 3" xfId="30" xr:uid="{00000000-0005-0000-0000-00000E000000}"/>
    <cellStyle name="Comma 6" xfId="31" xr:uid="{00000000-0005-0000-0000-00000F000000}"/>
    <cellStyle name="Comma 7" xfId="32" xr:uid="{00000000-0005-0000-0000-000010000000}"/>
    <cellStyle name="Comma 8" xfId="33" xr:uid="{00000000-0005-0000-0000-000011000000}"/>
    <cellStyle name="Comma 9" xfId="34" xr:uid="{00000000-0005-0000-0000-000012000000}"/>
    <cellStyle name="Currency 2" xfId="5" xr:uid="{00000000-0005-0000-0000-000013000000}"/>
    <cellStyle name="Currency 2 2" xfId="36" xr:uid="{00000000-0005-0000-0000-000014000000}"/>
    <cellStyle name="Currency 2 2 2" xfId="37" xr:uid="{00000000-0005-0000-0000-000015000000}"/>
    <cellStyle name="Currency 2 3" xfId="35" xr:uid="{00000000-0005-0000-0000-000016000000}"/>
    <cellStyle name="Currency 3" xfId="38" xr:uid="{00000000-0005-0000-0000-000017000000}"/>
    <cellStyle name="Currency 4" xfId="39" xr:uid="{00000000-0005-0000-0000-000018000000}"/>
    <cellStyle name="Currency 4 2" xfId="40" xr:uid="{00000000-0005-0000-0000-000019000000}"/>
    <cellStyle name="Currency 4 3" xfId="41" xr:uid="{00000000-0005-0000-0000-00001A000000}"/>
    <cellStyle name="Currency 4 4" xfId="42" xr:uid="{00000000-0005-0000-0000-00001B000000}"/>
    <cellStyle name="Currency 5" xfId="43" xr:uid="{00000000-0005-0000-0000-00001C000000}"/>
    <cellStyle name="Currency 5 2" xfId="44" xr:uid="{00000000-0005-0000-0000-00001D000000}"/>
    <cellStyle name="Currency 5 3" xfId="45" xr:uid="{00000000-0005-0000-0000-00001E000000}"/>
    <cellStyle name="Currency 6" xfId="46" xr:uid="{00000000-0005-0000-0000-00001F000000}"/>
    <cellStyle name="Currency 7" xfId="47" xr:uid="{00000000-0005-0000-0000-000020000000}"/>
    <cellStyle name="Currency 8" xfId="48" xr:uid="{00000000-0005-0000-0000-000021000000}"/>
    <cellStyle name="Currency 9" xfId="83" xr:uid="{00000000-0005-0000-0000-000022000000}"/>
    <cellStyle name="Hyperlink 2" xfId="84" xr:uid="{00000000-0005-0000-0000-000023000000}"/>
    <cellStyle name="Normal" xfId="0" builtinId="0"/>
    <cellStyle name="Normal 10" xfId="49" xr:uid="{00000000-0005-0000-0000-000025000000}"/>
    <cellStyle name="Normal 11" xfId="16" xr:uid="{00000000-0005-0000-0000-000026000000}"/>
    <cellStyle name="Normal 11 2" xfId="18" xr:uid="{00000000-0005-0000-0000-000027000000}"/>
    <cellStyle name="Normal 12" xfId="74" xr:uid="{00000000-0005-0000-0000-000028000000}"/>
    <cellStyle name="Normal 13" xfId="75" xr:uid="{00000000-0005-0000-0000-000029000000}"/>
    <cellStyle name="Normal 14" xfId="76" xr:uid="{00000000-0005-0000-0000-00002A000000}"/>
    <cellStyle name="Normal 15" xfId="77" xr:uid="{00000000-0005-0000-0000-00002B000000}"/>
    <cellStyle name="Normal 16" xfId="78" xr:uid="{00000000-0005-0000-0000-00002C000000}"/>
    <cellStyle name="Normal 17" xfId="17" xr:uid="{00000000-0005-0000-0000-00002D000000}"/>
    <cellStyle name="Normal 17 2" xfId="79" xr:uid="{00000000-0005-0000-0000-00002E000000}"/>
    <cellStyle name="Normal 18" xfId="80" xr:uid="{00000000-0005-0000-0000-00002F000000}"/>
    <cellStyle name="Normal 19" xfId="81" xr:uid="{00000000-0005-0000-0000-000030000000}"/>
    <cellStyle name="Normal 2" xfId="6" xr:uid="{00000000-0005-0000-0000-000031000000}"/>
    <cellStyle name="Normal 2 2" xfId="50" xr:uid="{00000000-0005-0000-0000-000032000000}"/>
    <cellStyle name="Normal 2 3" xfId="51" xr:uid="{00000000-0005-0000-0000-000033000000}"/>
    <cellStyle name="Normal 20" xfId="82" xr:uid="{00000000-0005-0000-0000-000034000000}"/>
    <cellStyle name="Normal 21" xfId="85" xr:uid="{00000000-0005-0000-0000-000035000000}"/>
    <cellStyle name="Normal 22" xfId="86" xr:uid="{00000000-0005-0000-0000-000036000000}"/>
    <cellStyle name="Normal 23" xfId="87" xr:uid="{00000000-0005-0000-0000-000037000000}"/>
    <cellStyle name="Normal 24" xfId="88" xr:uid="{00000000-0005-0000-0000-000038000000}"/>
    <cellStyle name="Normal 25" xfId="89" xr:uid="{872D7806-EB41-41F1-92D7-78D223BFAB74}"/>
    <cellStyle name="Normal 26" xfId="92" xr:uid="{EE880BF9-8071-4CE8-8388-6A7315EB6991}"/>
    <cellStyle name="Normal 3" xfId="8" xr:uid="{00000000-0005-0000-0000-000039000000}"/>
    <cellStyle name="Normal 3 2" xfId="53" xr:uid="{00000000-0005-0000-0000-00003A000000}"/>
    <cellStyle name="Normal 3 3" xfId="54" xr:uid="{00000000-0005-0000-0000-00003B000000}"/>
    <cellStyle name="Normal 3 4" xfId="52" xr:uid="{00000000-0005-0000-0000-00003C000000}"/>
    <cellStyle name="Normal 4" xfId="9" xr:uid="{00000000-0005-0000-0000-00003D000000}"/>
    <cellStyle name="Normal 4 2" xfId="55" xr:uid="{00000000-0005-0000-0000-00003E000000}"/>
    <cellStyle name="Normal 5" xfId="10" xr:uid="{00000000-0005-0000-0000-00003F000000}"/>
    <cellStyle name="Normal 5 2" xfId="56" xr:uid="{00000000-0005-0000-0000-000040000000}"/>
    <cellStyle name="Normal 6" xfId="12" xr:uid="{00000000-0005-0000-0000-000041000000}"/>
    <cellStyle name="Normal 6 2" xfId="58" xr:uid="{00000000-0005-0000-0000-000042000000}"/>
    <cellStyle name="Normal 6 3" xfId="57" xr:uid="{00000000-0005-0000-0000-000043000000}"/>
    <cellStyle name="Normal 7" xfId="13" xr:uid="{00000000-0005-0000-0000-000044000000}"/>
    <cellStyle name="Normal 7 2" xfId="59" xr:uid="{00000000-0005-0000-0000-000045000000}"/>
    <cellStyle name="Normal 8" xfId="14" xr:uid="{00000000-0005-0000-0000-000046000000}"/>
    <cellStyle name="Normal 8 2" xfId="60" xr:uid="{00000000-0005-0000-0000-000047000000}"/>
    <cellStyle name="Normal 9" xfId="15" xr:uid="{00000000-0005-0000-0000-000048000000}"/>
    <cellStyle name="Normal 9 2" xfId="61" xr:uid="{00000000-0005-0000-0000-000049000000}"/>
    <cellStyle name="Normal_Miami Budget Update - Jan 05 - Complete PR" xfId="2" xr:uid="{00000000-0005-0000-0000-00004A000000}"/>
    <cellStyle name="Normal_Waterstone PAYROLL 05-06" xfId="3" xr:uid="{00000000-0005-0000-0000-00004D000000}"/>
    <cellStyle name="Percent" xfId="4" builtinId="5"/>
    <cellStyle name="Percent 2" xfId="62" xr:uid="{00000000-0005-0000-0000-00004F000000}"/>
    <cellStyle name="Percent 2 2" xfId="63" xr:uid="{00000000-0005-0000-0000-000050000000}"/>
    <cellStyle name="Percent 2 3" xfId="64" xr:uid="{00000000-0005-0000-0000-000051000000}"/>
    <cellStyle name="Percent 3" xfId="65" xr:uid="{00000000-0005-0000-0000-000052000000}"/>
    <cellStyle name="Percent 4" xfId="66" xr:uid="{00000000-0005-0000-0000-000053000000}"/>
    <cellStyle name="Percent 4 2" xfId="67" xr:uid="{00000000-0005-0000-0000-000054000000}"/>
    <cellStyle name="Percent 4 3" xfId="68" xr:uid="{00000000-0005-0000-0000-000055000000}"/>
    <cellStyle name="Percent 4 4" xfId="69" xr:uid="{00000000-0005-0000-0000-000056000000}"/>
    <cellStyle name="Percent 5" xfId="70" xr:uid="{00000000-0005-0000-0000-000057000000}"/>
    <cellStyle name="Percent 5 2" xfId="71" xr:uid="{00000000-0005-0000-0000-000058000000}"/>
    <cellStyle name="Percent 5 3" xfId="72" xr:uid="{00000000-0005-0000-0000-000059000000}"/>
    <cellStyle name="Percent 6" xfId="73" xr:uid="{00000000-0005-0000-0000-00005A000000}"/>
    <cellStyle name="Percent 7" xfId="91" xr:uid="{31F118A2-BF5D-4E24-A26D-418E3F031E3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ldoe.org/USERDATA/EXCEL/FTE97E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SUMMARY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DATA\EXCEL\FTE97E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kennemur\Downloads\chtr2015-16fourth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s01\c\DOCUME~1\KEITHH~1.SPE\LOCALS~1\Temp\PBEDL%20Aug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s2\c%20on%20sfs2\DOCUME~1\CHRIS-~1.BHC\LOCALS~1\Temp\C.Lotus.Notes.Data\AJC\S%20L%20Jones%20%20Operating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out\Feb%201999\PACS_f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Budget (CY) (DISTRIBUTION)"/>
      <sheetName val="Salary Lookup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Op FB"/>
      <sheetName val="Narrative"/>
      <sheetName val="Cash Flow Startup"/>
      <sheetName val="Cash Flow 1"/>
      <sheetName val="Cash Flow 2"/>
      <sheetName val="Cash Flow 3"/>
      <sheetName val="Cash Flow 4"/>
      <sheetName val="Cash Flow 5"/>
      <sheetName val="Staffing"/>
      <sheetName val="Enroll"/>
      <sheetName val="Misc"/>
      <sheetName val="Food Svc"/>
      <sheetName val="Computers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"/>
      <sheetName val="PAT"/>
      <sheetName val=" Detail 2015-16 Fourth FEFP"/>
      <sheetName val="111-112-113 ADDITIONAL FUND"/>
      <sheetName val="Transportation Per Student"/>
      <sheetName val="75% or more ESE Calc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BEDL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 Budget"/>
      <sheetName val="Data"/>
      <sheetName val="Personnel"/>
      <sheetName val="FD Budget 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le"/>
      <sheetName val="BS"/>
      <sheetName val="IS"/>
      <sheetName val="Forecast"/>
      <sheetName val="Revenue"/>
      <sheetName val="Expense"/>
      <sheetName val="Graph"/>
      <sheetName val="Enrollment"/>
      <sheetName val="Forecast WS"/>
      <sheetName val="Acctg IS"/>
      <sheetName val="Acctg BS"/>
      <sheetName val="Budget"/>
      <sheetName val="TB"/>
      <sheetName val="GL"/>
      <sheetName val="StkInd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6">
          <cell r="A6" t="str">
            <v>Revenues</v>
          </cell>
        </row>
        <row r="8">
          <cell r="A8" t="str">
            <v>Number of Students B.O.M.</v>
          </cell>
          <cell r="B8">
            <v>819</v>
          </cell>
          <cell r="C8">
            <v>819</v>
          </cell>
          <cell r="D8">
            <v>819</v>
          </cell>
          <cell r="E8">
            <v>819</v>
          </cell>
          <cell r="F8">
            <v>819</v>
          </cell>
          <cell r="G8">
            <v>819</v>
          </cell>
          <cell r="H8">
            <v>819</v>
          </cell>
          <cell r="I8">
            <v>819</v>
          </cell>
          <cell r="J8">
            <v>819</v>
          </cell>
          <cell r="K8">
            <v>819</v>
          </cell>
          <cell r="L8">
            <v>819</v>
          </cell>
          <cell r="M8">
            <v>819</v>
          </cell>
          <cell r="N8">
            <v>819</v>
          </cell>
        </row>
        <row r="9">
          <cell r="A9" t="str">
            <v>Local Cap. / Student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A10" t="str">
            <v>State Cap. / Student</v>
          </cell>
          <cell r="B10">
            <v>332041</v>
          </cell>
          <cell r="C10">
            <v>332041</v>
          </cell>
          <cell r="D10">
            <v>233908</v>
          </cell>
          <cell r="E10">
            <v>263536</v>
          </cell>
          <cell r="F10">
            <v>290381.5</v>
          </cell>
          <cell r="G10">
            <v>294217</v>
          </cell>
          <cell r="H10">
            <v>289742</v>
          </cell>
          <cell r="I10">
            <v>289742</v>
          </cell>
          <cell r="J10">
            <v>289742</v>
          </cell>
          <cell r="K10">
            <v>289742</v>
          </cell>
          <cell r="L10">
            <v>289742</v>
          </cell>
          <cell r="M10">
            <v>289742</v>
          </cell>
          <cell r="N10">
            <v>3484576.5</v>
          </cell>
          <cell r="P10">
            <v>2035866.5</v>
          </cell>
          <cell r="Q10">
            <v>1448710</v>
          </cell>
          <cell r="R10">
            <v>3484576.5</v>
          </cell>
        </row>
        <row r="11">
          <cell r="A11" t="str">
            <v>State Start-Up Grant</v>
          </cell>
          <cell r="B11">
            <v>9583</v>
          </cell>
          <cell r="C11">
            <v>9583</v>
          </cell>
          <cell r="D11">
            <v>-19166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Fed Cap. / Student</v>
          </cell>
          <cell r="B12">
            <v>11887</v>
          </cell>
          <cell r="C12">
            <v>11887</v>
          </cell>
          <cell r="D12">
            <v>11887</v>
          </cell>
          <cell r="E12">
            <v>11882</v>
          </cell>
          <cell r="F12">
            <v>11053.16</v>
          </cell>
          <cell r="G12">
            <v>11049.16</v>
          </cell>
          <cell r="H12">
            <v>11054</v>
          </cell>
          <cell r="I12">
            <v>11054</v>
          </cell>
          <cell r="J12">
            <v>11054</v>
          </cell>
          <cell r="K12">
            <v>11054</v>
          </cell>
          <cell r="L12">
            <v>11054</v>
          </cell>
          <cell r="M12">
            <v>11054</v>
          </cell>
          <cell r="N12">
            <v>135969.32</v>
          </cell>
          <cell r="P12">
            <v>80699.320000000007</v>
          </cell>
          <cell r="Q12">
            <v>55270</v>
          </cell>
          <cell r="R12">
            <v>135969.32</v>
          </cell>
        </row>
        <row r="13">
          <cell r="A13" t="str">
            <v>Private Grants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5000</v>
          </cell>
          <cell r="L13">
            <v>0</v>
          </cell>
          <cell r="M13">
            <v>25000</v>
          </cell>
          <cell r="N13">
            <v>30000</v>
          </cell>
          <cell r="P13">
            <v>0</v>
          </cell>
          <cell r="Q13">
            <v>30000</v>
          </cell>
          <cell r="R13">
            <v>30000</v>
          </cell>
        </row>
        <row r="14">
          <cell r="A14" t="str">
            <v xml:space="preserve">State Spec Ed 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A15" t="str">
            <v>Fed Spec Ed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A16" t="str">
            <v>Total Earned Capitation</v>
          </cell>
          <cell r="B16">
            <v>353511</v>
          </cell>
          <cell r="C16">
            <v>353511</v>
          </cell>
          <cell r="D16">
            <v>226629</v>
          </cell>
          <cell r="E16">
            <v>275418</v>
          </cell>
          <cell r="F16">
            <v>301434.65999999997</v>
          </cell>
          <cell r="G16">
            <v>305266.15999999997</v>
          </cell>
          <cell r="H16">
            <v>300796</v>
          </cell>
          <cell r="I16">
            <v>300796</v>
          </cell>
          <cell r="J16">
            <v>300796</v>
          </cell>
          <cell r="K16">
            <v>305796</v>
          </cell>
          <cell r="L16">
            <v>300796</v>
          </cell>
          <cell r="M16">
            <v>325796</v>
          </cell>
          <cell r="N16">
            <v>3650545.8200000003</v>
          </cell>
          <cell r="P16">
            <v>2116565.8199999998</v>
          </cell>
          <cell r="Q16">
            <v>1533980</v>
          </cell>
          <cell r="R16">
            <v>3650545.82</v>
          </cell>
        </row>
        <row r="19">
          <cell r="A19" t="str">
            <v>Fed Free Lunch &amp; Breakfast</v>
          </cell>
          <cell r="B19">
            <v>0</v>
          </cell>
          <cell r="C19">
            <v>7200</v>
          </cell>
          <cell r="D19">
            <v>15000</v>
          </cell>
          <cell r="E19">
            <v>52800</v>
          </cell>
          <cell r="F19">
            <v>20228</v>
          </cell>
          <cell r="G19">
            <v>30000</v>
          </cell>
          <cell r="H19">
            <v>30000</v>
          </cell>
          <cell r="I19">
            <v>20000</v>
          </cell>
          <cell r="J19">
            <v>20000</v>
          </cell>
          <cell r="K19">
            <v>20000</v>
          </cell>
          <cell r="L19">
            <v>20000</v>
          </cell>
          <cell r="M19">
            <v>20000</v>
          </cell>
          <cell r="N19">
            <v>255228</v>
          </cell>
          <cell r="P19">
            <v>155228</v>
          </cell>
          <cell r="Q19">
            <v>100000</v>
          </cell>
          <cell r="R19">
            <v>255228</v>
          </cell>
        </row>
        <row r="20">
          <cell r="A20" t="str">
            <v>Fed Reduced Lunch &amp; Bkfst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10433.6505</v>
          </cell>
          <cell r="J20">
            <v>12081.069</v>
          </cell>
          <cell r="K20">
            <v>8786.232</v>
          </cell>
          <cell r="L20">
            <v>10982.79</v>
          </cell>
          <cell r="M20">
            <v>9884.5109999999986</v>
          </cell>
          <cell r="N20">
            <v>52168.252500000002</v>
          </cell>
          <cell r="P20">
            <v>0</v>
          </cell>
          <cell r="Q20">
            <v>52168.252500000002</v>
          </cell>
          <cell r="R20">
            <v>52168.252500000002</v>
          </cell>
        </row>
        <row r="21">
          <cell r="A21" t="str">
            <v>Fed Paying Student Offset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591.3180000000001</v>
          </cell>
          <cell r="J21">
            <v>684.68400000000008</v>
          </cell>
          <cell r="K21">
            <v>497.95200000000006</v>
          </cell>
          <cell r="L21">
            <v>622.44000000000005</v>
          </cell>
          <cell r="M21">
            <v>560.19600000000014</v>
          </cell>
          <cell r="N21">
            <v>2956.5900000000006</v>
          </cell>
          <cell r="P21">
            <v>0</v>
          </cell>
          <cell r="Q21">
            <v>2956.59</v>
          </cell>
          <cell r="R21">
            <v>2956.59</v>
          </cell>
        </row>
        <row r="22">
          <cell r="A22" t="str">
            <v>Student Revs Reduced</v>
          </cell>
          <cell r="B22">
            <v>0</v>
          </cell>
          <cell r="C22">
            <v>375</v>
          </cell>
          <cell r="D22">
            <v>1000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3104.4195</v>
          </cell>
          <cell r="J22">
            <v>3594.5910000000003</v>
          </cell>
          <cell r="K22">
            <v>2614.248</v>
          </cell>
          <cell r="L22">
            <v>3267.81</v>
          </cell>
          <cell r="M22">
            <v>2941.029</v>
          </cell>
          <cell r="N22">
            <v>16897.0975</v>
          </cell>
          <cell r="P22">
            <v>1375</v>
          </cell>
          <cell r="Q22">
            <v>15522.0975</v>
          </cell>
          <cell r="R22">
            <v>16897.0975</v>
          </cell>
        </row>
        <row r="23">
          <cell r="A23" t="str">
            <v>Student Revs Full</v>
          </cell>
          <cell r="B23">
            <v>0</v>
          </cell>
          <cell r="C23">
            <v>300</v>
          </cell>
          <cell r="D23">
            <v>800</v>
          </cell>
          <cell r="E23">
            <v>5025</v>
          </cell>
          <cell r="F23">
            <v>5000</v>
          </cell>
          <cell r="G23">
            <v>5000</v>
          </cell>
          <cell r="H23">
            <v>5000</v>
          </cell>
          <cell r="I23">
            <v>4574.9340000000002</v>
          </cell>
          <cell r="J23">
            <v>5297.2920000000004</v>
          </cell>
          <cell r="K23">
            <v>3852.576</v>
          </cell>
          <cell r="L23">
            <v>4815.7</v>
          </cell>
          <cell r="M23">
            <v>4334.1480000000001</v>
          </cell>
          <cell r="N23">
            <v>43999.65</v>
          </cell>
          <cell r="P23">
            <v>21125</v>
          </cell>
          <cell r="Q23">
            <v>22874.65</v>
          </cell>
          <cell r="R23">
            <v>43999.65</v>
          </cell>
        </row>
        <row r="24">
          <cell r="A24" t="str">
            <v>Total Earned Food Service</v>
          </cell>
          <cell r="B24">
            <v>0</v>
          </cell>
          <cell r="C24">
            <v>7875</v>
          </cell>
          <cell r="D24">
            <v>16800</v>
          </cell>
          <cell r="E24">
            <v>57825</v>
          </cell>
          <cell r="F24">
            <v>25228</v>
          </cell>
          <cell r="G24">
            <v>35000</v>
          </cell>
          <cell r="H24">
            <v>35000</v>
          </cell>
          <cell r="I24">
            <v>38704.322</v>
          </cell>
          <cell r="J24">
            <v>41657.635999999999</v>
          </cell>
          <cell r="K24">
            <v>35751.008000000002</v>
          </cell>
          <cell r="L24">
            <v>39688.74</v>
          </cell>
          <cell r="M24">
            <v>37719.883999999998</v>
          </cell>
          <cell r="N24">
            <v>371249.58999999997</v>
          </cell>
          <cell r="P24">
            <v>177728</v>
          </cell>
          <cell r="Q24">
            <v>193521.59</v>
          </cell>
          <cell r="R24">
            <v>371249.59</v>
          </cell>
        </row>
        <row r="26">
          <cell r="A26" t="str">
            <v>Total Revenues</v>
          </cell>
          <cell r="B26">
            <v>353511</v>
          </cell>
          <cell r="C26">
            <v>361386</v>
          </cell>
          <cell r="D26">
            <v>243429</v>
          </cell>
          <cell r="E26">
            <v>333243</v>
          </cell>
          <cell r="F26">
            <v>326662.65999999997</v>
          </cell>
          <cell r="G26">
            <v>340266.16</v>
          </cell>
          <cell r="H26">
            <v>335796</v>
          </cell>
          <cell r="I26">
            <v>339500.32199999999</v>
          </cell>
          <cell r="J26">
            <v>342453.636</v>
          </cell>
          <cell r="K26">
            <v>341547.00800000003</v>
          </cell>
          <cell r="L26">
            <v>340484.74</v>
          </cell>
          <cell r="M26">
            <v>363515.88400000002</v>
          </cell>
          <cell r="N26">
            <v>4021795.41</v>
          </cell>
          <cell r="P26">
            <v>2294293.8199999998</v>
          </cell>
          <cell r="Q26">
            <v>1727501.59</v>
          </cell>
          <cell r="R26">
            <v>4021795.4099999997</v>
          </cell>
        </row>
        <row r="29">
          <cell r="A29" t="str">
            <v>Salaried Personnel</v>
          </cell>
        </row>
        <row r="30">
          <cell r="A30" t="str">
            <v>School Leadership</v>
          </cell>
          <cell r="B30">
            <v>19502</v>
          </cell>
          <cell r="C30">
            <v>13213</v>
          </cell>
          <cell r="D30">
            <v>14486</v>
          </cell>
          <cell r="E30">
            <v>27604</v>
          </cell>
          <cell r="F30">
            <v>18205</v>
          </cell>
          <cell r="G30">
            <v>2008</v>
          </cell>
          <cell r="H30">
            <v>17757</v>
          </cell>
          <cell r="I30">
            <v>14040</v>
          </cell>
          <cell r="J30">
            <v>14040</v>
          </cell>
          <cell r="K30">
            <v>14040</v>
          </cell>
          <cell r="L30">
            <v>14040</v>
          </cell>
          <cell r="M30">
            <v>14040</v>
          </cell>
          <cell r="N30">
            <v>182975</v>
          </cell>
          <cell r="P30">
            <v>112775</v>
          </cell>
          <cell r="Q30">
            <v>70200</v>
          </cell>
          <cell r="R30">
            <v>182975</v>
          </cell>
        </row>
        <row r="31">
          <cell r="A31" t="str">
            <v>Teacher Salaries - Reg. Educ.</v>
          </cell>
          <cell r="B31">
            <v>53631</v>
          </cell>
          <cell r="C31">
            <v>82104</v>
          </cell>
          <cell r="D31">
            <v>80997</v>
          </cell>
          <cell r="E31">
            <v>81231</v>
          </cell>
          <cell r="F31">
            <v>74034</v>
          </cell>
          <cell r="G31">
            <v>61504</v>
          </cell>
          <cell r="H31">
            <v>103922</v>
          </cell>
          <cell r="I31">
            <v>76180</v>
          </cell>
          <cell r="J31">
            <v>76180</v>
          </cell>
          <cell r="K31">
            <v>76180</v>
          </cell>
          <cell r="L31">
            <v>76180</v>
          </cell>
          <cell r="M31">
            <v>76180</v>
          </cell>
          <cell r="N31">
            <v>918323</v>
          </cell>
          <cell r="P31">
            <v>537423</v>
          </cell>
          <cell r="Q31">
            <v>380900</v>
          </cell>
          <cell r="R31">
            <v>918323</v>
          </cell>
        </row>
        <row r="32">
          <cell r="A32" t="str">
            <v>Teacher Salaries - SPED</v>
          </cell>
          <cell r="B32">
            <v>2500</v>
          </cell>
          <cell r="C32">
            <v>4356</v>
          </cell>
          <cell r="D32">
            <v>6248</v>
          </cell>
          <cell r="E32">
            <v>3271</v>
          </cell>
          <cell r="F32">
            <v>4625</v>
          </cell>
          <cell r="G32">
            <v>3375</v>
          </cell>
          <cell r="H32">
            <v>5958</v>
          </cell>
          <cell r="I32">
            <v>2773.3333333333335</v>
          </cell>
          <cell r="J32">
            <v>2773.3333333333335</v>
          </cell>
          <cell r="K32">
            <v>2773.3333333333335</v>
          </cell>
          <cell r="L32">
            <v>2773.3333333333335</v>
          </cell>
          <cell r="M32">
            <v>2773.3333333333335</v>
          </cell>
          <cell r="N32">
            <v>44199.666666666672</v>
          </cell>
          <cell r="P32">
            <v>30333</v>
          </cell>
          <cell r="Q32">
            <v>13866.666666666668</v>
          </cell>
          <cell r="R32">
            <v>44199.666666666672</v>
          </cell>
        </row>
        <row r="33">
          <cell r="A33" t="str">
            <v>Specialty Teachers</v>
          </cell>
          <cell r="B33">
            <v>8542</v>
          </cell>
          <cell r="C33">
            <v>5355</v>
          </cell>
          <cell r="D33">
            <v>5270</v>
          </cell>
          <cell r="E33">
            <v>12843</v>
          </cell>
          <cell r="F33">
            <v>5605</v>
          </cell>
          <cell r="G33">
            <v>5604</v>
          </cell>
          <cell r="H33">
            <v>6876</v>
          </cell>
          <cell r="I33">
            <v>10400</v>
          </cell>
          <cell r="J33">
            <v>10400</v>
          </cell>
          <cell r="K33">
            <v>10400</v>
          </cell>
          <cell r="L33">
            <v>10400</v>
          </cell>
          <cell r="M33">
            <v>10400</v>
          </cell>
          <cell r="N33">
            <v>102095</v>
          </cell>
          <cell r="P33">
            <v>50095</v>
          </cell>
          <cell r="Q33">
            <v>52000</v>
          </cell>
          <cell r="R33">
            <v>102095</v>
          </cell>
        </row>
        <row r="34">
          <cell r="A34" t="str">
            <v xml:space="preserve">Technology Staff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A35" t="str">
            <v>Instructional Asst.</v>
          </cell>
          <cell r="B35">
            <v>13635</v>
          </cell>
          <cell r="C35">
            <v>21770</v>
          </cell>
          <cell r="D35">
            <v>24174</v>
          </cell>
          <cell r="E35">
            <v>26478</v>
          </cell>
          <cell r="F35">
            <v>24129</v>
          </cell>
          <cell r="G35">
            <v>24694</v>
          </cell>
          <cell r="H35">
            <v>29688</v>
          </cell>
          <cell r="I35">
            <v>20000</v>
          </cell>
          <cell r="J35">
            <v>20000</v>
          </cell>
          <cell r="K35">
            <v>20000</v>
          </cell>
          <cell r="L35">
            <v>20000</v>
          </cell>
          <cell r="M35">
            <v>20000</v>
          </cell>
          <cell r="N35">
            <v>264568</v>
          </cell>
          <cell r="P35">
            <v>164568</v>
          </cell>
          <cell r="Q35">
            <v>100000</v>
          </cell>
          <cell r="R35">
            <v>264568</v>
          </cell>
        </row>
        <row r="36">
          <cell r="A36" t="str">
            <v>Health &amp; Guidance</v>
          </cell>
          <cell r="B36">
            <v>1260</v>
          </cell>
          <cell r="C36">
            <v>1360</v>
          </cell>
          <cell r="D36">
            <v>1825</v>
          </cell>
          <cell r="E36">
            <v>2116</v>
          </cell>
          <cell r="F36">
            <v>1941</v>
          </cell>
          <cell r="G36">
            <v>2242</v>
          </cell>
          <cell r="H36">
            <v>1941</v>
          </cell>
          <cell r="I36">
            <v>2600</v>
          </cell>
          <cell r="J36">
            <v>2600</v>
          </cell>
          <cell r="K36">
            <v>2600</v>
          </cell>
          <cell r="L36">
            <v>2600</v>
          </cell>
          <cell r="M36">
            <v>2600</v>
          </cell>
          <cell r="N36">
            <v>25685</v>
          </cell>
          <cell r="P36">
            <v>12685</v>
          </cell>
          <cell r="Q36">
            <v>13000</v>
          </cell>
          <cell r="R36">
            <v>25685</v>
          </cell>
        </row>
        <row r="37">
          <cell r="A37" t="str">
            <v>Librarian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2127</v>
          </cell>
          <cell r="G37">
            <v>2034</v>
          </cell>
          <cell r="H37">
            <v>2033</v>
          </cell>
          <cell r="I37">
            <v>2253.3333333333335</v>
          </cell>
          <cell r="J37">
            <v>2253.3333333333335</v>
          </cell>
          <cell r="K37">
            <v>2253.3333333333335</v>
          </cell>
          <cell r="L37">
            <v>2253.3333333333335</v>
          </cell>
          <cell r="M37">
            <v>2253.3333333333335</v>
          </cell>
          <cell r="N37">
            <v>17460.666666666668</v>
          </cell>
          <cell r="P37">
            <v>6194</v>
          </cell>
          <cell r="Q37">
            <v>11266.666666666668</v>
          </cell>
          <cell r="R37">
            <v>17460.666666666668</v>
          </cell>
        </row>
        <row r="38">
          <cell r="A38" t="str">
            <v>Total Salaries</v>
          </cell>
          <cell r="B38">
            <v>99070</v>
          </cell>
          <cell r="C38">
            <v>128158</v>
          </cell>
          <cell r="D38">
            <v>133000</v>
          </cell>
          <cell r="E38">
            <v>153543</v>
          </cell>
          <cell r="F38">
            <v>130666</v>
          </cell>
          <cell r="G38">
            <v>101461</v>
          </cell>
          <cell r="H38">
            <v>168175</v>
          </cell>
          <cell r="I38">
            <v>128246.66666666666</v>
          </cell>
          <cell r="J38">
            <v>128246.66666666666</v>
          </cell>
          <cell r="K38">
            <v>128246.66666666666</v>
          </cell>
          <cell r="L38">
            <v>128246.66666666666</v>
          </cell>
          <cell r="M38">
            <v>128246.66666666666</v>
          </cell>
          <cell r="N38">
            <v>1555306.3333333333</v>
          </cell>
          <cell r="P38">
            <v>914073</v>
          </cell>
          <cell r="Q38">
            <v>641233.33333333337</v>
          </cell>
          <cell r="R38">
            <v>1555306.3333333335</v>
          </cell>
        </row>
        <row r="40">
          <cell r="A40" t="str">
            <v>Hourly Wage Personnel</v>
          </cell>
        </row>
        <row r="41">
          <cell r="A41" t="str">
            <v>Administrative Staff</v>
          </cell>
          <cell r="B41">
            <v>4134</v>
          </cell>
          <cell r="C41">
            <v>4034</v>
          </cell>
          <cell r="D41">
            <v>3543</v>
          </cell>
          <cell r="E41">
            <v>7399</v>
          </cell>
          <cell r="F41">
            <v>3777</v>
          </cell>
          <cell r="G41">
            <v>4104</v>
          </cell>
          <cell r="H41">
            <v>7036</v>
          </cell>
          <cell r="I41">
            <v>7036</v>
          </cell>
          <cell r="J41">
            <v>7036</v>
          </cell>
          <cell r="K41">
            <v>7036</v>
          </cell>
          <cell r="L41">
            <v>7036</v>
          </cell>
          <cell r="M41">
            <v>7036</v>
          </cell>
          <cell r="N41">
            <v>69207</v>
          </cell>
          <cell r="P41">
            <v>34027</v>
          </cell>
          <cell r="Q41">
            <v>35180</v>
          </cell>
          <cell r="R41">
            <v>69207</v>
          </cell>
        </row>
        <row r="42">
          <cell r="A42" t="str">
            <v>Custodial Staff</v>
          </cell>
          <cell r="B42">
            <v>1500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750</v>
          </cell>
          <cell r="I42">
            <v>1560</v>
          </cell>
          <cell r="J42">
            <v>1560</v>
          </cell>
          <cell r="K42">
            <v>1560</v>
          </cell>
          <cell r="L42">
            <v>1560</v>
          </cell>
          <cell r="M42">
            <v>1560</v>
          </cell>
          <cell r="N42">
            <v>10050</v>
          </cell>
          <cell r="P42">
            <v>2250</v>
          </cell>
          <cell r="Q42">
            <v>7800</v>
          </cell>
          <cell r="R42">
            <v>10050</v>
          </cell>
        </row>
        <row r="43">
          <cell r="A43" t="str">
            <v>Food Service Staff</v>
          </cell>
          <cell r="B43">
            <v>536</v>
          </cell>
          <cell r="C43">
            <v>891</v>
          </cell>
          <cell r="D43">
            <v>1775</v>
          </cell>
          <cell r="E43">
            <v>3149</v>
          </cell>
          <cell r="F43">
            <v>5293</v>
          </cell>
          <cell r="G43">
            <v>1915</v>
          </cell>
          <cell r="H43">
            <v>3739</v>
          </cell>
          <cell r="I43">
            <v>2080</v>
          </cell>
          <cell r="J43">
            <v>2080</v>
          </cell>
          <cell r="K43">
            <v>2080</v>
          </cell>
          <cell r="L43">
            <v>2080</v>
          </cell>
          <cell r="M43">
            <v>2080</v>
          </cell>
          <cell r="N43">
            <v>27698</v>
          </cell>
          <cell r="P43">
            <v>17298</v>
          </cell>
          <cell r="Q43">
            <v>10400</v>
          </cell>
          <cell r="R43">
            <v>27698</v>
          </cell>
        </row>
        <row r="44">
          <cell r="A44" t="str">
            <v>Other School Staff</v>
          </cell>
          <cell r="B44">
            <v>2000</v>
          </cell>
          <cell r="C44">
            <v>3880</v>
          </cell>
          <cell r="D44">
            <v>22447</v>
          </cell>
          <cell r="E44">
            <v>2918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31245</v>
          </cell>
          <cell r="P44">
            <v>31245</v>
          </cell>
          <cell r="Q44">
            <v>0</v>
          </cell>
          <cell r="R44">
            <v>31245</v>
          </cell>
        </row>
        <row r="45">
          <cell r="A45" t="str">
            <v>Temporary Staff</v>
          </cell>
          <cell r="B45">
            <v>2480</v>
          </cell>
          <cell r="C45">
            <v>4148</v>
          </cell>
          <cell r="D45">
            <v>10033</v>
          </cell>
          <cell r="E45">
            <v>4890</v>
          </cell>
          <cell r="F45">
            <v>8320</v>
          </cell>
          <cell r="G45">
            <v>4700</v>
          </cell>
          <cell r="H45">
            <v>4519</v>
          </cell>
          <cell r="I45">
            <v>1050</v>
          </cell>
          <cell r="J45">
            <v>1050</v>
          </cell>
          <cell r="K45">
            <v>1050</v>
          </cell>
          <cell r="L45">
            <v>1050</v>
          </cell>
          <cell r="M45">
            <v>1050</v>
          </cell>
          <cell r="N45">
            <v>44340</v>
          </cell>
          <cell r="P45">
            <v>39090</v>
          </cell>
          <cell r="Q45">
            <v>5250</v>
          </cell>
          <cell r="R45">
            <v>44340</v>
          </cell>
        </row>
        <row r="46">
          <cell r="A46" t="str">
            <v>Total Hourly Wages</v>
          </cell>
          <cell r="B46">
            <v>10650</v>
          </cell>
          <cell r="C46">
            <v>12953</v>
          </cell>
          <cell r="D46">
            <v>37798</v>
          </cell>
          <cell r="E46">
            <v>18356</v>
          </cell>
          <cell r="F46">
            <v>17390</v>
          </cell>
          <cell r="G46">
            <v>10719</v>
          </cell>
          <cell r="H46">
            <v>16044</v>
          </cell>
          <cell r="I46">
            <v>11726</v>
          </cell>
          <cell r="J46">
            <v>11726</v>
          </cell>
          <cell r="K46">
            <v>11726</v>
          </cell>
          <cell r="L46">
            <v>11726</v>
          </cell>
          <cell r="M46">
            <v>11726</v>
          </cell>
          <cell r="N46">
            <v>182540</v>
          </cell>
          <cell r="P46">
            <v>123910</v>
          </cell>
          <cell r="Q46">
            <v>58630</v>
          </cell>
          <cell r="R46">
            <v>182540</v>
          </cell>
        </row>
        <row r="48">
          <cell r="A48" t="str">
            <v>Taxes &amp; Benefits</v>
          </cell>
        </row>
        <row r="49">
          <cell r="A49" t="str">
            <v>Group Insurance &amp; Other</v>
          </cell>
          <cell r="B49">
            <v>335</v>
          </cell>
          <cell r="C49">
            <v>11091</v>
          </cell>
          <cell r="D49">
            <v>13335</v>
          </cell>
          <cell r="E49">
            <v>13539</v>
          </cell>
          <cell r="F49">
            <v>32083</v>
          </cell>
          <cell r="G49">
            <v>50163</v>
          </cell>
          <cell r="H49">
            <v>22933</v>
          </cell>
          <cell r="I49">
            <v>19878.233333333334</v>
          </cell>
          <cell r="J49">
            <v>19878.233333333334</v>
          </cell>
          <cell r="K49">
            <v>19878.233333333334</v>
          </cell>
          <cell r="L49">
            <v>29878.233333333301</v>
          </cell>
          <cell r="M49">
            <v>29878.233333333301</v>
          </cell>
          <cell r="N49">
            <v>262870.16666666663</v>
          </cell>
          <cell r="P49">
            <v>143479</v>
          </cell>
          <cell r="Q49">
            <v>119391.1666666666</v>
          </cell>
          <cell r="R49">
            <v>262870.16666666663</v>
          </cell>
        </row>
        <row r="50">
          <cell r="A50" t="str">
            <v>Worker's Compensation</v>
          </cell>
          <cell r="B50">
            <v>518</v>
          </cell>
          <cell r="C50">
            <v>518</v>
          </cell>
          <cell r="D50">
            <v>518</v>
          </cell>
          <cell r="E50">
            <v>-733</v>
          </cell>
          <cell r="F50">
            <v>204</v>
          </cell>
          <cell r="G50">
            <v>203</v>
          </cell>
          <cell r="H50">
            <v>-641</v>
          </cell>
          <cell r="I50">
            <v>686.7833333333333</v>
          </cell>
          <cell r="J50">
            <v>686.7833333333333</v>
          </cell>
          <cell r="K50">
            <v>686.7833333333333</v>
          </cell>
          <cell r="L50">
            <v>686.7833333333333</v>
          </cell>
          <cell r="M50">
            <v>686.7833333333333</v>
          </cell>
          <cell r="N50">
            <v>4020.9166666666665</v>
          </cell>
          <cell r="P50">
            <v>587</v>
          </cell>
          <cell r="Q50">
            <v>3433.9166666666665</v>
          </cell>
          <cell r="R50">
            <v>4020.9166666666665</v>
          </cell>
        </row>
        <row r="51">
          <cell r="A51" t="str">
            <v>Payroll Taxes</v>
          </cell>
          <cell r="B51">
            <v>8377</v>
          </cell>
          <cell r="C51">
            <v>13014</v>
          </cell>
          <cell r="D51">
            <v>15481</v>
          </cell>
          <cell r="E51">
            <v>13449</v>
          </cell>
          <cell r="F51">
            <v>12419</v>
          </cell>
          <cell r="G51">
            <v>5341</v>
          </cell>
          <cell r="H51">
            <v>18774</v>
          </cell>
          <cell r="I51">
            <v>10782.498333333331</v>
          </cell>
          <cell r="J51">
            <v>10782.498333333331</v>
          </cell>
          <cell r="K51">
            <v>10782.498333333331</v>
          </cell>
          <cell r="L51">
            <v>10782.498333333331</v>
          </cell>
          <cell r="M51">
            <v>10782.498333333331</v>
          </cell>
          <cell r="N51">
            <v>140767.49166666664</v>
          </cell>
          <cell r="P51">
            <v>86855</v>
          </cell>
          <cell r="Q51">
            <v>53912.491666666654</v>
          </cell>
          <cell r="R51">
            <v>140767.49166666664</v>
          </cell>
        </row>
        <row r="52">
          <cell r="A52" t="str">
            <v>Total Taxes &amp; Benefits</v>
          </cell>
          <cell r="B52">
            <v>9230</v>
          </cell>
          <cell r="C52">
            <v>24623</v>
          </cell>
          <cell r="D52">
            <v>29334</v>
          </cell>
          <cell r="E52">
            <v>26255</v>
          </cell>
          <cell r="F52">
            <v>44706</v>
          </cell>
          <cell r="G52">
            <v>55707</v>
          </cell>
          <cell r="H52">
            <v>41066</v>
          </cell>
          <cell r="I52">
            <v>31347.514999999999</v>
          </cell>
          <cell r="J52">
            <v>31347.514999999999</v>
          </cell>
          <cell r="K52">
            <v>31347.514999999999</v>
          </cell>
          <cell r="L52">
            <v>41347.514999999963</v>
          </cell>
          <cell r="M52">
            <v>41347.514999999963</v>
          </cell>
          <cell r="N52">
            <v>407658.57499999995</v>
          </cell>
          <cell r="P52">
            <v>230921</v>
          </cell>
          <cell r="Q52">
            <v>176737.57499999992</v>
          </cell>
          <cell r="R52">
            <v>407658.57499999995</v>
          </cell>
        </row>
        <row r="54">
          <cell r="A54" t="str">
            <v>Contracted SPED - Instruction</v>
          </cell>
          <cell r="B54">
            <v>0</v>
          </cell>
          <cell r="C54">
            <v>0</v>
          </cell>
          <cell r="D54">
            <v>0</v>
          </cell>
          <cell r="E54">
            <v>15397</v>
          </cell>
          <cell r="F54">
            <v>0</v>
          </cell>
          <cell r="G54">
            <v>0</v>
          </cell>
          <cell r="H54">
            <v>0</v>
          </cell>
          <cell r="I54">
            <v>2730</v>
          </cell>
          <cell r="J54">
            <v>2730</v>
          </cell>
          <cell r="K54">
            <v>2730</v>
          </cell>
          <cell r="L54">
            <v>2730</v>
          </cell>
          <cell r="M54">
            <v>2730</v>
          </cell>
          <cell r="N54">
            <v>29047</v>
          </cell>
          <cell r="P54">
            <v>15397</v>
          </cell>
          <cell r="Q54">
            <v>13650</v>
          </cell>
          <cell r="R54">
            <v>29047</v>
          </cell>
        </row>
        <row r="56">
          <cell r="A56" t="str">
            <v>Total Cost of Compensation</v>
          </cell>
          <cell r="B56">
            <v>118950</v>
          </cell>
          <cell r="C56">
            <v>165734</v>
          </cell>
          <cell r="D56">
            <v>200132</v>
          </cell>
          <cell r="E56">
            <v>213551</v>
          </cell>
          <cell r="F56">
            <v>192762</v>
          </cell>
          <cell r="G56">
            <v>167887</v>
          </cell>
          <cell r="H56">
            <v>225285</v>
          </cell>
          <cell r="I56">
            <v>174050.18166666664</v>
          </cell>
          <cell r="J56">
            <v>174050.18166666664</v>
          </cell>
          <cell r="K56">
            <v>174050.18166666664</v>
          </cell>
          <cell r="L56">
            <v>184050.18166666661</v>
          </cell>
          <cell r="M56">
            <v>184050.18166666661</v>
          </cell>
          <cell r="N56">
            <v>2174551.9083333332</v>
          </cell>
          <cell r="P56">
            <v>1284301</v>
          </cell>
          <cell r="Q56">
            <v>890250.90833333333</v>
          </cell>
          <cell r="R56">
            <v>2174551.9083333332</v>
          </cell>
        </row>
        <row r="58">
          <cell r="A58" t="str">
            <v>Revenues Less Total Compensation</v>
          </cell>
          <cell r="B58">
            <v>234561</v>
          </cell>
          <cell r="C58">
            <v>195652</v>
          </cell>
          <cell r="D58">
            <v>43297</v>
          </cell>
          <cell r="E58">
            <v>119692</v>
          </cell>
          <cell r="F58">
            <v>133900.65999999997</v>
          </cell>
          <cell r="G58">
            <v>172379.15999999997</v>
          </cell>
          <cell r="H58">
            <v>110511</v>
          </cell>
          <cell r="I58">
            <v>165450.14033333334</v>
          </cell>
          <cell r="J58">
            <v>168403.45433333336</v>
          </cell>
          <cell r="K58">
            <v>167496.82633333339</v>
          </cell>
          <cell r="L58">
            <v>156434.55833333338</v>
          </cell>
          <cell r="M58">
            <v>179465.70233333341</v>
          </cell>
          <cell r="N58">
            <v>1847243.5016666667</v>
          </cell>
          <cell r="P58">
            <v>1009992.8199999998</v>
          </cell>
          <cell r="Q58">
            <v>837250.68166666676</v>
          </cell>
          <cell r="R58">
            <v>1847243.5016666665</v>
          </cell>
        </row>
        <row r="60">
          <cell r="A60" t="str">
            <v>Professional Services</v>
          </cell>
        </row>
        <row r="61">
          <cell r="A61" t="str">
            <v>Legal Fees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364</v>
          </cell>
          <cell r="J61">
            <v>364</v>
          </cell>
          <cell r="K61">
            <v>364</v>
          </cell>
          <cell r="L61">
            <v>364</v>
          </cell>
          <cell r="M61">
            <v>364</v>
          </cell>
          <cell r="N61">
            <v>1820</v>
          </cell>
          <cell r="P61">
            <v>0</v>
          </cell>
          <cell r="Q61">
            <v>1820</v>
          </cell>
          <cell r="R61">
            <v>1820</v>
          </cell>
        </row>
        <row r="62">
          <cell r="A62" t="str">
            <v>Accounting Services</v>
          </cell>
          <cell r="B62">
            <v>198</v>
          </cell>
          <cell r="C62">
            <v>752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409.5</v>
          </cell>
          <cell r="J62">
            <v>409.5</v>
          </cell>
          <cell r="K62">
            <v>409.5</v>
          </cell>
          <cell r="L62">
            <v>409.5</v>
          </cell>
          <cell r="M62">
            <v>409.5</v>
          </cell>
          <cell r="N62">
            <v>2997.5</v>
          </cell>
          <cell r="P62">
            <v>950</v>
          </cell>
          <cell r="Q62">
            <v>2047.5</v>
          </cell>
          <cell r="R62">
            <v>2997.5</v>
          </cell>
        </row>
        <row r="63">
          <cell r="A63" t="str">
            <v>Consulting Fees</v>
          </cell>
          <cell r="B63">
            <v>713</v>
          </cell>
          <cell r="C63">
            <v>8937</v>
          </cell>
          <cell r="D63">
            <v>2723</v>
          </cell>
          <cell r="E63">
            <v>-12373</v>
          </cell>
          <cell r="F63">
            <v>480</v>
          </cell>
          <cell r="G63">
            <v>0</v>
          </cell>
          <cell r="H63">
            <v>4713</v>
          </cell>
          <cell r="I63">
            <v>1820</v>
          </cell>
          <cell r="J63">
            <v>1820</v>
          </cell>
          <cell r="K63">
            <v>1820</v>
          </cell>
          <cell r="L63">
            <v>1820</v>
          </cell>
          <cell r="M63">
            <v>1820</v>
          </cell>
          <cell r="N63">
            <v>14293</v>
          </cell>
          <cell r="P63">
            <v>5193</v>
          </cell>
          <cell r="Q63">
            <v>9100</v>
          </cell>
          <cell r="R63">
            <v>14293</v>
          </cell>
        </row>
        <row r="64">
          <cell r="A64" t="str">
            <v>Bank Service Fees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136.5</v>
          </cell>
          <cell r="J64">
            <v>136.5</v>
          </cell>
          <cell r="K64">
            <v>136.5</v>
          </cell>
          <cell r="L64">
            <v>136.5</v>
          </cell>
          <cell r="M64">
            <v>136.5</v>
          </cell>
          <cell r="N64">
            <v>682.5</v>
          </cell>
          <cell r="P64">
            <v>0</v>
          </cell>
          <cell r="Q64">
            <v>682.5</v>
          </cell>
          <cell r="R64">
            <v>682.5</v>
          </cell>
        </row>
        <row r="65">
          <cell r="A65" t="str">
            <v>Computer Service Fees</v>
          </cell>
          <cell r="B65">
            <v>482</v>
          </cell>
          <cell r="C65">
            <v>482</v>
          </cell>
          <cell r="D65">
            <v>482</v>
          </cell>
          <cell r="E65">
            <v>0</v>
          </cell>
          <cell r="F65">
            <v>0</v>
          </cell>
          <cell r="G65">
            <v>965</v>
          </cell>
          <cell r="H65">
            <v>1703</v>
          </cell>
          <cell r="I65">
            <v>750</v>
          </cell>
          <cell r="J65">
            <v>750</v>
          </cell>
          <cell r="K65">
            <v>750</v>
          </cell>
          <cell r="L65">
            <v>750</v>
          </cell>
          <cell r="M65">
            <v>750</v>
          </cell>
          <cell r="N65">
            <v>7864</v>
          </cell>
          <cell r="P65">
            <v>4114</v>
          </cell>
          <cell r="Q65">
            <v>3750</v>
          </cell>
          <cell r="R65">
            <v>7864</v>
          </cell>
        </row>
        <row r="66">
          <cell r="A66" t="str">
            <v>Temporary Agency Fees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P66">
            <v>0</v>
          </cell>
          <cell r="Q66">
            <v>0</v>
          </cell>
          <cell r="R66">
            <v>0</v>
          </cell>
        </row>
        <row r="67">
          <cell r="A67" t="str">
            <v>Recruiting Fees</v>
          </cell>
          <cell r="B67">
            <v>0</v>
          </cell>
          <cell r="C67">
            <v>779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1820</v>
          </cell>
          <cell r="L67">
            <v>1820</v>
          </cell>
          <cell r="M67">
            <v>1820</v>
          </cell>
          <cell r="N67">
            <v>6239</v>
          </cell>
          <cell r="P67">
            <v>779</v>
          </cell>
          <cell r="Q67">
            <v>5460</v>
          </cell>
          <cell r="R67">
            <v>6239</v>
          </cell>
        </row>
        <row r="68">
          <cell r="A68" t="str">
            <v>School Management Fees</v>
          </cell>
          <cell r="B68">
            <v>58283</v>
          </cell>
          <cell r="C68">
            <v>63568</v>
          </cell>
          <cell r="D68">
            <v>83551</v>
          </cell>
          <cell r="E68">
            <v>73313</v>
          </cell>
          <cell r="F68">
            <v>71865</v>
          </cell>
          <cell r="G68">
            <v>74859</v>
          </cell>
          <cell r="H68">
            <v>73875</v>
          </cell>
          <cell r="I68">
            <v>74690.07084</v>
          </cell>
          <cell r="J68">
            <v>75339.799920000005</v>
          </cell>
          <cell r="K68">
            <v>75140.34176000001</v>
          </cell>
          <cell r="L68">
            <v>74906.642800000001</v>
          </cell>
          <cell r="M68">
            <v>79973.494480000008</v>
          </cell>
          <cell r="N68">
            <v>879364.34979999997</v>
          </cell>
          <cell r="P68">
            <v>499314</v>
          </cell>
          <cell r="Q68">
            <v>380050.34980000003</v>
          </cell>
          <cell r="R68">
            <v>879364.34979999997</v>
          </cell>
        </row>
        <row r="69">
          <cell r="A69" t="str">
            <v xml:space="preserve">Marketing &amp; Enrollment Fees 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300</v>
          </cell>
          <cell r="L69">
            <v>300</v>
          </cell>
          <cell r="M69">
            <v>300</v>
          </cell>
          <cell r="N69">
            <v>900</v>
          </cell>
          <cell r="P69">
            <v>0</v>
          </cell>
          <cell r="Q69">
            <v>900</v>
          </cell>
          <cell r="R69">
            <v>900</v>
          </cell>
        </row>
        <row r="70">
          <cell r="A70" t="str">
            <v>Local Advertising Fund</v>
          </cell>
          <cell r="B70">
            <v>1479</v>
          </cell>
          <cell r="C70">
            <v>304</v>
          </cell>
          <cell r="D70">
            <v>0</v>
          </cell>
          <cell r="E70">
            <v>0</v>
          </cell>
          <cell r="F70">
            <v>90</v>
          </cell>
          <cell r="G70">
            <v>-290</v>
          </cell>
          <cell r="H70">
            <v>-265</v>
          </cell>
          <cell r="I70">
            <v>0</v>
          </cell>
          <cell r="J70">
            <v>0</v>
          </cell>
          <cell r="K70">
            <v>500</v>
          </cell>
          <cell r="L70">
            <v>1000</v>
          </cell>
          <cell r="M70">
            <v>3500</v>
          </cell>
          <cell r="N70">
            <v>6318</v>
          </cell>
          <cell r="P70">
            <v>1318</v>
          </cell>
          <cell r="Q70">
            <v>5000</v>
          </cell>
          <cell r="R70">
            <v>6318</v>
          </cell>
        </row>
        <row r="71">
          <cell r="B71">
            <v>61155</v>
          </cell>
          <cell r="C71">
            <v>74822</v>
          </cell>
          <cell r="D71">
            <v>86756</v>
          </cell>
          <cell r="E71">
            <v>60940</v>
          </cell>
          <cell r="F71">
            <v>72435</v>
          </cell>
          <cell r="G71">
            <v>75534</v>
          </cell>
          <cell r="H71">
            <v>80026</v>
          </cell>
          <cell r="I71">
            <v>78170.07084</v>
          </cell>
          <cell r="J71">
            <v>78819.799920000005</v>
          </cell>
          <cell r="K71">
            <v>81240.34176000001</v>
          </cell>
          <cell r="L71">
            <v>81506.642800000001</v>
          </cell>
          <cell r="M71">
            <v>89073.494480000008</v>
          </cell>
          <cell r="N71">
            <v>920478.34979999997</v>
          </cell>
          <cell r="P71">
            <v>511668</v>
          </cell>
          <cell r="Q71">
            <v>408810.34980000003</v>
          </cell>
          <cell r="R71">
            <v>920478.34979999997</v>
          </cell>
        </row>
        <row r="73">
          <cell r="A73" t="str">
            <v>Vendor Services</v>
          </cell>
        </row>
        <row r="74">
          <cell r="A74" t="str">
            <v>Contracted Pupil Transportation</v>
          </cell>
          <cell r="B74">
            <v>244</v>
          </cell>
          <cell r="C74">
            <v>19800</v>
          </cell>
          <cell r="D74">
            <v>20146</v>
          </cell>
          <cell r="E74">
            <v>19962</v>
          </cell>
          <cell r="F74">
            <v>30909</v>
          </cell>
          <cell r="G74">
            <v>39288</v>
          </cell>
          <cell r="H74">
            <v>35989</v>
          </cell>
          <cell r="I74">
            <v>35000</v>
          </cell>
          <cell r="J74">
            <v>35000</v>
          </cell>
          <cell r="K74">
            <v>35000</v>
          </cell>
          <cell r="L74">
            <v>35000</v>
          </cell>
          <cell r="M74">
            <v>35000</v>
          </cell>
          <cell r="N74">
            <v>341338</v>
          </cell>
          <cell r="P74">
            <v>166338</v>
          </cell>
          <cell r="Q74">
            <v>175000</v>
          </cell>
          <cell r="R74">
            <v>341338</v>
          </cell>
        </row>
        <row r="75">
          <cell r="A75" t="str">
            <v>Contracted Food Service</v>
          </cell>
          <cell r="B75">
            <v>0</v>
          </cell>
          <cell r="C75">
            <v>7875</v>
          </cell>
          <cell r="D75">
            <v>13854</v>
          </cell>
          <cell r="E75">
            <v>43457</v>
          </cell>
          <cell r="F75">
            <v>27671</v>
          </cell>
          <cell r="G75">
            <v>71018</v>
          </cell>
          <cell r="H75">
            <v>44069</v>
          </cell>
          <cell r="I75">
            <v>46107.242999999995</v>
          </cell>
          <cell r="J75">
            <v>53387.333999999995</v>
          </cell>
          <cell r="K75">
            <v>38827.152000000002</v>
          </cell>
          <cell r="L75">
            <v>48533.94</v>
          </cell>
          <cell r="M75">
            <v>43680.546000000002</v>
          </cell>
          <cell r="N75">
            <v>438480.21499999997</v>
          </cell>
          <cell r="P75">
            <v>207944</v>
          </cell>
          <cell r="Q75">
            <v>230536.215</v>
          </cell>
          <cell r="R75">
            <v>438480.21499999997</v>
          </cell>
        </row>
        <row r="76">
          <cell r="A76" t="str">
            <v>Contracted SPED - Non-Instruction</v>
          </cell>
          <cell r="B76">
            <v>0</v>
          </cell>
          <cell r="C76">
            <v>0</v>
          </cell>
          <cell r="D76">
            <v>0</v>
          </cell>
          <cell r="E76">
            <v>661</v>
          </cell>
          <cell r="F76">
            <v>2183</v>
          </cell>
          <cell r="G76">
            <v>1507</v>
          </cell>
          <cell r="H76">
            <v>2595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6946</v>
          </cell>
          <cell r="P76">
            <v>6946</v>
          </cell>
          <cell r="Q76">
            <v>0</v>
          </cell>
          <cell r="R76">
            <v>6946</v>
          </cell>
        </row>
        <row r="77">
          <cell r="A77" t="str">
            <v>Contracted Custodial Services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6390</v>
          </cell>
          <cell r="H77">
            <v>0</v>
          </cell>
          <cell r="I77">
            <v>1958.6666666666667</v>
          </cell>
          <cell r="J77">
            <v>1958.6666666666667</v>
          </cell>
          <cell r="K77">
            <v>1958.6666666666667</v>
          </cell>
          <cell r="L77">
            <v>1958.6666666666667</v>
          </cell>
          <cell r="M77">
            <v>1958.6666666666667</v>
          </cell>
          <cell r="N77">
            <v>16183.333333333334</v>
          </cell>
          <cell r="P77">
            <v>6390</v>
          </cell>
          <cell r="Q77">
            <v>9793.3333333333339</v>
          </cell>
          <cell r="R77">
            <v>16183.333333333334</v>
          </cell>
        </row>
        <row r="78">
          <cell r="A78" t="str">
            <v>Contracted Maintenance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P78">
            <v>0</v>
          </cell>
          <cell r="Q78">
            <v>0</v>
          </cell>
          <cell r="R78">
            <v>0</v>
          </cell>
        </row>
        <row r="79">
          <cell r="B79">
            <v>244</v>
          </cell>
          <cell r="C79">
            <v>27675</v>
          </cell>
          <cell r="D79">
            <v>34000</v>
          </cell>
          <cell r="E79">
            <v>64080</v>
          </cell>
          <cell r="F79">
            <v>60763</v>
          </cell>
          <cell r="G79">
            <v>118203</v>
          </cell>
          <cell r="H79">
            <v>82653</v>
          </cell>
          <cell r="I79">
            <v>83065.909666666659</v>
          </cell>
          <cell r="J79">
            <v>90346.000666666674</v>
          </cell>
          <cell r="K79">
            <v>75785.818666666673</v>
          </cell>
          <cell r="L79">
            <v>85492.606666666674</v>
          </cell>
          <cell r="M79">
            <v>80639.212666666674</v>
          </cell>
          <cell r="N79">
            <v>802947.54833333334</v>
          </cell>
          <cell r="P79">
            <v>387618</v>
          </cell>
          <cell r="Q79">
            <v>415329.54833333328</v>
          </cell>
          <cell r="R79">
            <v>802947.54833333334</v>
          </cell>
        </row>
        <row r="81">
          <cell r="A81" t="str">
            <v>Administrative Expenses</v>
          </cell>
        </row>
        <row r="82">
          <cell r="A82" t="str">
            <v>Travel/Auto</v>
          </cell>
          <cell r="B82">
            <v>0</v>
          </cell>
          <cell r="C82">
            <v>0</v>
          </cell>
          <cell r="D82">
            <v>581</v>
          </cell>
          <cell r="E82">
            <v>350</v>
          </cell>
          <cell r="F82">
            <v>0</v>
          </cell>
          <cell r="G82">
            <v>0</v>
          </cell>
          <cell r="H82">
            <v>1385</v>
          </cell>
          <cell r="I82">
            <v>114</v>
          </cell>
          <cell r="J82">
            <v>114</v>
          </cell>
          <cell r="K82">
            <v>114</v>
          </cell>
          <cell r="L82">
            <v>114</v>
          </cell>
          <cell r="M82">
            <v>114</v>
          </cell>
          <cell r="N82">
            <v>2886</v>
          </cell>
          <cell r="P82">
            <v>2316</v>
          </cell>
          <cell r="Q82">
            <v>570</v>
          </cell>
          <cell r="R82">
            <v>2886</v>
          </cell>
        </row>
        <row r="83">
          <cell r="A83" t="str">
            <v>Airfare</v>
          </cell>
          <cell r="B83">
            <v>0</v>
          </cell>
          <cell r="C83">
            <v>285</v>
          </cell>
          <cell r="D83">
            <v>990</v>
          </cell>
          <cell r="E83">
            <v>0</v>
          </cell>
          <cell r="F83">
            <v>0</v>
          </cell>
          <cell r="G83">
            <v>-285</v>
          </cell>
          <cell r="H83">
            <v>149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1139</v>
          </cell>
          <cell r="P83">
            <v>1139</v>
          </cell>
          <cell r="Q83">
            <v>0</v>
          </cell>
          <cell r="R83">
            <v>1139</v>
          </cell>
        </row>
        <row r="84">
          <cell r="A84" t="str">
            <v>Meals</v>
          </cell>
          <cell r="B84">
            <v>0</v>
          </cell>
          <cell r="C84">
            <v>80</v>
          </cell>
          <cell r="D84">
            <v>277</v>
          </cell>
          <cell r="E84">
            <v>0</v>
          </cell>
          <cell r="F84">
            <v>0</v>
          </cell>
          <cell r="G84">
            <v>0</v>
          </cell>
          <cell r="H84">
            <v>72</v>
          </cell>
          <cell r="I84">
            <v>85.5</v>
          </cell>
          <cell r="J84">
            <v>85.5</v>
          </cell>
          <cell r="K84">
            <v>85.5</v>
          </cell>
          <cell r="L84">
            <v>85.5</v>
          </cell>
          <cell r="M84">
            <v>85.5</v>
          </cell>
          <cell r="N84">
            <v>856.5</v>
          </cell>
          <cell r="P84">
            <v>429</v>
          </cell>
          <cell r="Q84">
            <v>427.5</v>
          </cell>
          <cell r="R84">
            <v>856.5</v>
          </cell>
        </row>
        <row r="85">
          <cell r="A85" t="str">
            <v>Lodging</v>
          </cell>
          <cell r="B85">
            <v>0</v>
          </cell>
          <cell r="C85">
            <v>0</v>
          </cell>
          <cell r="D85">
            <v>698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142.5</v>
          </cell>
          <cell r="J85">
            <v>142.5</v>
          </cell>
          <cell r="K85">
            <v>142.5</v>
          </cell>
          <cell r="L85">
            <v>142.5</v>
          </cell>
          <cell r="M85">
            <v>142.5</v>
          </cell>
          <cell r="N85">
            <v>1410.5</v>
          </cell>
          <cell r="P85">
            <v>698</v>
          </cell>
          <cell r="Q85">
            <v>712.5</v>
          </cell>
          <cell r="R85">
            <v>1410.5</v>
          </cell>
        </row>
        <row r="86">
          <cell r="A86" t="str">
            <v>Business Expense - Other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A87" t="str">
            <v>Dues &amp; Subscriptions</v>
          </cell>
          <cell r="B87">
            <v>0</v>
          </cell>
          <cell r="C87">
            <v>0</v>
          </cell>
          <cell r="D87">
            <v>32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114</v>
          </cell>
          <cell r="J87">
            <v>114</v>
          </cell>
          <cell r="K87">
            <v>114</v>
          </cell>
          <cell r="L87">
            <v>114</v>
          </cell>
          <cell r="M87">
            <v>114</v>
          </cell>
          <cell r="N87">
            <v>602</v>
          </cell>
          <cell r="P87">
            <v>32</v>
          </cell>
          <cell r="Q87">
            <v>570</v>
          </cell>
          <cell r="R87">
            <v>602</v>
          </cell>
        </row>
        <row r="88">
          <cell r="A88" t="str">
            <v>Printing</v>
          </cell>
          <cell r="B88">
            <v>2315</v>
          </cell>
          <cell r="C88">
            <v>170</v>
          </cell>
          <cell r="D88">
            <v>0</v>
          </cell>
          <cell r="E88">
            <v>1349</v>
          </cell>
          <cell r="F88">
            <v>0</v>
          </cell>
          <cell r="G88">
            <v>0</v>
          </cell>
          <cell r="H88">
            <v>0</v>
          </cell>
          <cell r="I88">
            <v>1228.5</v>
          </cell>
          <cell r="J88">
            <v>1228.5</v>
          </cell>
          <cell r="K88">
            <v>1228.5</v>
          </cell>
          <cell r="L88">
            <v>1228.5</v>
          </cell>
          <cell r="M88">
            <v>1228.5</v>
          </cell>
          <cell r="N88">
            <v>9976.5</v>
          </cell>
          <cell r="P88">
            <v>3834</v>
          </cell>
          <cell r="Q88">
            <v>6142.5</v>
          </cell>
          <cell r="R88">
            <v>9976.5</v>
          </cell>
        </row>
        <row r="89">
          <cell r="A89" t="str">
            <v>Office Supplies</v>
          </cell>
          <cell r="B89">
            <v>1862</v>
          </cell>
          <cell r="C89">
            <v>2075</v>
          </cell>
          <cell r="D89">
            <v>4898</v>
          </cell>
          <cell r="E89">
            <v>7594</v>
          </cell>
          <cell r="F89">
            <v>1500</v>
          </cell>
          <cell r="G89">
            <v>9193</v>
          </cell>
          <cell r="H89">
            <v>723</v>
          </cell>
          <cell r="I89">
            <v>1456</v>
          </cell>
          <cell r="J89">
            <v>1456</v>
          </cell>
          <cell r="K89">
            <v>1456</v>
          </cell>
          <cell r="L89">
            <v>1456</v>
          </cell>
          <cell r="M89">
            <v>1456</v>
          </cell>
          <cell r="N89">
            <v>35125</v>
          </cell>
          <cell r="P89">
            <v>27845</v>
          </cell>
          <cell r="Q89">
            <v>7280</v>
          </cell>
          <cell r="R89">
            <v>35125</v>
          </cell>
        </row>
        <row r="90">
          <cell r="A90" t="str">
            <v>In-house Food Service - Cost of Food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P90">
            <v>0</v>
          </cell>
          <cell r="Q90">
            <v>0</v>
          </cell>
          <cell r="R90">
            <v>0</v>
          </cell>
        </row>
        <row r="91">
          <cell r="A91" t="str">
            <v>Food Service - Paper and Smallwares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P91">
            <v>0</v>
          </cell>
          <cell r="Q91">
            <v>0</v>
          </cell>
          <cell r="R91">
            <v>0</v>
          </cell>
        </row>
        <row r="92">
          <cell r="A92" t="str">
            <v>Medical Supplies</v>
          </cell>
          <cell r="B92">
            <v>0</v>
          </cell>
          <cell r="C92">
            <v>0</v>
          </cell>
          <cell r="D92">
            <v>0</v>
          </cell>
          <cell r="E92">
            <v>1201</v>
          </cell>
          <cell r="F92">
            <v>0</v>
          </cell>
          <cell r="G92">
            <v>196</v>
          </cell>
          <cell r="H92">
            <v>43</v>
          </cell>
          <cell r="I92">
            <v>204.75</v>
          </cell>
          <cell r="J92">
            <v>204.75</v>
          </cell>
          <cell r="K92">
            <v>204.75</v>
          </cell>
          <cell r="L92">
            <v>204.75</v>
          </cell>
          <cell r="M92">
            <v>204.75</v>
          </cell>
          <cell r="N92">
            <v>2463.75</v>
          </cell>
          <cell r="P92">
            <v>1440</v>
          </cell>
          <cell r="Q92">
            <v>1023.75</v>
          </cell>
          <cell r="R92">
            <v>2463.75</v>
          </cell>
        </row>
        <row r="93">
          <cell r="B93">
            <v>4177</v>
          </cell>
          <cell r="C93">
            <v>2610</v>
          </cell>
          <cell r="D93">
            <v>7476</v>
          </cell>
          <cell r="E93">
            <v>10494</v>
          </cell>
          <cell r="F93">
            <v>1500</v>
          </cell>
          <cell r="G93">
            <v>9104</v>
          </cell>
          <cell r="H93">
            <v>2372</v>
          </cell>
          <cell r="I93">
            <v>3345.25</v>
          </cell>
          <cell r="J93">
            <v>3345.25</v>
          </cell>
          <cell r="K93">
            <v>3345.25</v>
          </cell>
          <cell r="L93">
            <v>3345.25</v>
          </cell>
          <cell r="M93">
            <v>3345.25</v>
          </cell>
          <cell r="N93">
            <v>54459.25</v>
          </cell>
          <cell r="P93">
            <v>37733</v>
          </cell>
          <cell r="Q93">
            <v>16726.25</v>
          </cell>
          <cell r="R93">
            <v>54459.25</v>
          </cell>
        </row>
        <row r="95">
          <cell r="A95" t="str">
            <v>Instruction Expense</v>
          </cell>
        </row>
        <row r="96">
          <cell r="A96" t="str">
            <v>Textbooks</v>
          </cell>
          <cell r="B96">
            <v>0</v>
          </cell>
          <cell r="C96">
            <v>347</v>
          </cell>
          <cell r="D96">
            <v>0</v>
          </cell>
          <cell r="E96">
            <v>389</v>
          </cell>
          <cell r="F96">
            <v>0</v>
          </cell>
          <cell r="G96">
            <v>0</v>
          </cell>
          <cell r="H96">
            <v>501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1237</v>
          </cell>
          <cell r="P96">
            <v>1237</v>
          </cell>
          <cell r="Q96">
            <v>0</v>
          </cell>
          <cell r="R96">
            <v>1237</v>
          </cell>
        </row>
        <row r="97">
          <cell r="A97" t="str">
            <v>Library &amp; Reference Books</v>
          </cell>
          <cell r="B97">
            <v>1610</v>
          </cell>
          <cell r="C97">
            <v>0</v>
          </cell>
          <cell r="D97">
            <v>0</v>
          </cell>
          <cell r="E97">
            <v>132</v>
          </cell>
          <cell r="F97">
            <v>312</v>
          </cell>
          <cell r="G97">
            <v>333</v>
          </cell>
          <cell r="H97">
            <v>715</v>
          </cell>
          <cell r="I97">
            <v>156.97499999999999</v>
          </cell>
          <cell r="J97">
            <v>156.97499999999999</v>
          </cell>
          <cell r="K97">
            <v>156.97499999999999</v>
          </cell>
          <cell r="L97">
            <v>156.97499999999999</v>
          </cell>
          <cell r="M97">
            <v>156.97499999999999</v>
          </cell>
          <cell r="N97">
            <v>3886.875</v>
          </cell>
          <cell r="P97">
            <v>3102</v>
          </cell>
          <cell r="Q97">
            <v>784.875</v>
          </cell>
          <cell r="R97">
            <v>3886.875</v>
          </cell>
        </row>
        <row r="98">
          <cell r="A98" t="str">
            <v>Other Publications</v>
          </cell>
          <cell r="B98">
            <v>0</v>
          </cell>
          <cell r="C98">
            <v>54</v>
          </cell>
          <cell r="D98">
            <v>2391</v>
          </cell>
          <cell r="E98">
            <v>1541</v>
          </cell>
          <cell r="F98">
            <v>0</v>
          </cell>
          <cell r="G98">
            <v>238</v>
          </cell>
          <cell r="H98">
            <v>0</v>
          </cell>
          <cell r="I98">
            <v>91</v>
          </cell>
          <cell r="J98">
            <v>91</v>
          </cell>
          <cell r="K98">
            <v>91</v>
          </cell>
          <cell r="L98">
            <v>91</v>
          </cell>
          <cell r="M98">
            <v>91</v>
          </cell>
          <cell r="N98">
            <v>4679</v>
          </cell>
          <cell r="P98">
            <v>4224</v>
          </cell>
          <cell r="Q98">
            <v>455</v>
          </cell>
          <cell r="R98">
            <v>4679</v>
          </cell>
        </row>
        <row r="99">
          <cell r="A99" t="str">
            <v>Instructional Supplies</v>
          </cell>
          <cell r="B99">
            <v>122</v>
          </cell>
          <cell r="C99">
            <v>2107</v>
          </cell>
          <cell r="D99">
            <v>1944</v>
          </cell>
          <cell r="E99">
            <v>3834</v>
          </cell>
          <cell r="F99">
            <v>2475</v>
          </cell>
          <cell r="G99">
            <v>2484</v>
          </cell>
          <cell r="H99">
            <v>2043</v>
          </cell>
          <cell r="I99">
            <v>350</v>
          </cell>
          <cell r="J99">
            <v>350</v>
          </cell>
          <cell r="K99">
            <v>350</v>
          </cell>
          <cell r="L99">
            <v>350</v>
          </cell>
          <cell r="M99">
            <v>350</v>
          </cell>
          <cell r="N99">
            <v>16759</v>
          </cell>
          <cell r="P99">
            <v>15009</v>
          </cell>
          <cell r="Q99">
            <v>1750</v>
          </cell>
          <cell r="R99">
            <v>16759</v>
          </cell>
        </row>
        <row r="100">
          <cell r="A100" t="str">
            <v>Sporting Goods</v>
          </cell>
          <cell r="B100">
            <v>0</v>
          </cell>
          <cell r="C100">
            <v>0</v>
          </cell>
          <cell r="D100">
            <v>758</v>
          </cell>
          <cell r="E100">
            <v>0</v>
          </cell>
          <cell r="F100">
            <v>1198</v>
          </cell>
          <cell r="G100">
            <v>203</v>
          </cell>
          <cell r="H100">
            <v>0</v>
          </cell>
          <cell r="I100">
            <v>72.8</v>
          </cell>
          <cell r="J100">
            <v>72.8</v>
          </cell>
          <cell r="K100">
            <v>72.8</v>
          </cell>
          <cell r="L100">
            <v>72.8</v>
          </cell>
          <cell r="M100">
            <v>72.8</v>
          </cell>
          <cell r="N100">
            <v>2523</v>
          </cell>
          <cell r="P100">
            <v>2159</v>
          </cell>
          <cell r="Q100">
            <v>364</v>
          </cell>
          <cell r="R100">
            <v>2523</v>
          </cell>
        </row>
        <row r="101">
          <cell r="B101">
            <v>1732</v>
          </cell>
          <cell r="C101">
            <v>2508</v>
          </cell>
          <cell r="D101">
            <v>5093</v>
          </cell>
          <cell r="E101">
            <v>5896</v>
          </cell>
          <cell r="F101">
            <v>3985</v>
          </cell>
          <cell r="G101">
            <v>3258</v>
          </cell>
          <cell r="H101">
            <v>3259</v>
          </cell>
          <cell r="I101">
            <v>670.77499999999998</v>
          </cell>
          <cell r="J101">
            <v>670.77499999999998</v>
          </cell>
          <cell r="K101">
            <v>670.77499999999998</v>
          </cell>
          <cell r="L101">
            <v>670.77499999999998</v>
          </cell>
          <cell r="M101">
            <v>670.77499999999998</v>
          </cell>
          <cell r="N101">
            <v>29084.875</v>
          </cell>
          <cell r="P101">
            <v>25731</v>
          </cell>
          <cell r="Q101">
            <v>3353.875</v>
          </cell>
          <cell r="R101">
            <v>29084.875</v>
          </cell>
        </row>
        <row r="103">
          <cell r="A103" t="str">
            <v>Other Operating Expenses</v>
          </cell>
        </row>
        <row r="104">
          <cell r="A104" t="str">
            <v>Telephone</v>
          </cell>
          <cell r="B104">
            <v>1200</v>
          </cell>
          <cell r="C104">
            <v>1255</v>
          </cell>
          <cell r="D104">
            <v>2791</v>
          </cell>
          <cell r="E104">
            <v>1381</v>
          </cell>
          <cell r="F104">
            <v>1200</v>
          </cell>
          <cell r="G104">
            <v>770</v>
          </cell>
          <cell r="H104">
            <v>2614</v>
          </cell>
          <cell r="I104">
            <v>950</v>
          </cell>
          <cell r="J104">
            <v>950</v>
          </cell>
          <cell r="K104">
            <v>950</v>
          </cell>
          <cell r="L104">
            <v>950</v>
          </cell>
          <cell r="M104">
            <v>950</v>
          </cell>
          <cell r="N104">
            <v>15961</v>
          </cell>
          <cell r="P104">
            <v>11211</v>
          </cell>
          <cell r="Q104">
            <v>4750</v>
          </cell>
          <cell r="R104">
            <v>15961</v>
          </cell>
        </row>
        <row r="105">
          <cell r="A105" t="str">
            <v>Postage</v>
          </cell>
          <cell r="B105">
            <v>242</v>
          </cell>
          <cell r="C105">
            <v>142</v>
          </cell>
          <cell r="D105">
            <v>815</v>
          </cell>
          <cell r="E105">
            <v>439</v>
          </cell>
          <cell r="F105">
            <v>15</v>
          </cell>
          <cell r="G105">
            <v>0</v>
          </cell>
          <cell r="H105">
            <v>0</v>
          </cell>
          <cell r="I105">
            <v>273</v>
          </cell>
          <cell r="J105">
            <v>273</v>
          </cell>
          <cell r="K105">
            <v>273</v>
          </cell>
          <cell r="L105">
            <v>273</v>
          </cell>
          <cell r="M105">
            <v>273</v>
          </cell>
          <cell r="N105">
            <v>3018</v>
          </cell>
          <cell r="P105">
            <v>1653</v>
          </cell>
          <cell r="Q105">
            <v>1365</v>
          </cell>
          <cell r="R105">
            <v>3018</v>
          </cell>
        </row>
        <row r="106">
          <cell r="A106" t="str">
            <v>Express Mail</v>
          </cell>
          <cell r="B106">
            <v>71</v>
          </cell>
          <cell r="C106">
            <v>0</v>
          </cell>
          <cell r="D106">
            <v>130</v>
          </cell>
          <cell r="E106">
            <v>6</v>
          </cell>
          <cell r="F106">
            <v>0</v>
          </cell>
          <cell r="G106">
            <v>0</v>
          </cell>
          <cell r="H106">
            <v>52</v>
          </cell>
          <cell r="I106">
            <v>163.80000000000001</v>
          </cell>
          <cell r="J106">
            <v>163.80000000000001</v>
          </cell>
          <cell r="K106">
            <v>163.80000000000001</v>
          </cell>
          <cell r="L106">
            <v>163.80000000000001</v>
          </cell>
          <cell r="M106">
            <v>163.80000000000001</v>
          </cell>
          <cell r="N106">
            <v>1078</v>
          </cell>
          <cell r="P106">
            <v>259</v>
          </cell>
          <cell r="Q106">
            <v>819</v>
          </cell>
          <cell r="R106">
            <v>1078</v>
          </cell>
        </row>
        <row r="107">
          <cell r="A107" t="str">
            <v>Electricity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P107">
            <v>0</v>
          </cell>
          <cell r="Q107">
            <v>0</v>
          </cell>
          <cell r="R107">
            <v>0</v>
          </cell>
        </row>
        <row r="108">
          <cell r="A108" t="str">
            <v>Gas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P108">
            <v>0</v>
          </cell>
          <cell r="Q108">
            <v>0</v>
          </cell>
          <cell r="R108">
            <v>0</v>
          </cell>
        </row>
        <row r="109">
          <cell r="A109" t="str">
            <v>Water &amp; Sewer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P109">
            <v>0</v>
          </cell>
          <cell r="Q109">
            <v>0</v>
          </cell>
          <cell r="R109">
            <v>0</v>
          </cell>
        </row>
        <row r="110">
          <cell r="A110" t="str">
            <v>Waste Disposal</v>
          </cell>
          <cell r="B110">
            <v>0</v>
          </cell>
          <cell r="C110">
            <v>115</v>
          </cell>
          <cell r="D110">
            <v>292</v>
          </cell>
          <cell r="E110">
            <v>226</v>
          </cell>
          <cell r="F110">
            <v>232</v>
          </cell>
          <cell r="G110">
            <v>235</v>
          </cell>
          <cell r="H110">
            <v>496</v>
          </cell>
          <cell r="I110">
            <v>226</v>
          </cell>
          <cell r="J110">
            <v>226</v>
          </cell>
          <cell r="K110">
            <v>226</v>
          </cell>
          <cell r="L110">
            <v>226</v>
          </cell>
          <cell r="M110">
            <v>226</v>
          </cell>
          <cell r="N110">
            <v>2726</v>
          </cell>
          <cell r="P110">
            <v>1596</v>
          </cell>
          <cell r="Q110">
            <v>1130</v>
          </cell>
          <cell r="R110">
            <v>2726</v>
          </cell>
        </row>
        <row r="111">
          <cell r="A111" t="str">
            <v>Security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74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74</v>
          </cell>
          <cell r="P111">
            <v>74</v>
          </cell>
          <cell r="Q111">
            <v>0</v>
          </cell>
          <cell r="R111">
            <v>74</v>
          </cell>
        </row>
        <row r="112">
          <cell r="A112" t="str">
            <v>Uniform &amp; Laundry Expenses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0</v>
          </cell>
        </row>
        <row r="113">
          <cell r="A113" t="str">
            <v>Maintenance Supplies</v>
          </cell>
          <cell r="B113">
            <v>0</v>
          </cell>
          <cell r="C113">
            <v>276</v>
          </cell>
          <cell r="D113">
            <v>115</v>
          </cell>
          <cell r="E113">
            <v>684</v>
          </cell>
          <cell r="F113">
            <v>0</v>
          </cell>
          <cell r="G113">
            <v>1066</v>
          </cell>
          <cell r="H113">
            <v>750</v>
          </cell>
          <cell r="I113">
            <v>450</v>
          </cell>
          <cell r="J113">
            <v>450</v>
          </cell>
          <cell r="K113">
            <v>450</v>
          </cell>
          <cell r="L113">
            <v>450</v>
          </cell>
          <cell r="M113">
            <v>450</v>
          </cell>
          <cell r="N113">
            <v>5141</v>
          </cell>
          <cell r="P113">
            <v>2891</v>
          </cell>
          <cell r="Q113">
            <v>2250</v>
          </cell>
          <cell r="R113">
            <v>5141</v>
          </cell>
        </row>
        <row r="114">
          <cell r="A114" t="str">
            <v>Building Repairs &amp; Maintenance</v>
          </cell>
          <cell r="B114">
            <v>0</v>
          </cell>
          <cell r="C114">
            <v>276</v>
          </cell>
          <cell r="D114">
            <v>923</v>
          </cell>
          <cell r="E114">
            <v>1443</v>
          </cell>
          <cell r="F114">
            <v>905</v>
          </cell>
          <cell r="G114">
            <v>-5</v>
          </cell>
          <cell r="H114">
            <v>96</v>
          </cell>
          <cell r="I114">
            <v>391.38249999999999</v>
          </cell>
          <cell r="J114">
            <v>391.38249999999999</v>
          </cell>
          <cell r="K114">
            <v>391.38249999999999</v>
          </cell>
          <cell r="L114">
            <v>391.38249999999999</v>
          </cell>
          <cell r="M114">
            <v>391.38249999999999</v>
          </cell>
          <cell r="N114">
            <v>5594.9125000000004</v>
          </cell>
          <cell r="P114">
            <v>3638</v>
          </cell>
          <cell r="Q114">
            <v>1956.9124999999999</v>
          </cell>
          <cell r="R114">
            <v>5594.9125000000004</v>
          </cell>
        </row>
        <row r="115">
          <cell r="A115" t="str">
            <v>Equipment Repairs &amp; Maintenance</v>
          </cell>
          <cell r="B115">
            <v>0</v>
          </cell>
          <cell r="C115">
            <v>617</v>
          </cell>
          <cell r="D115">
            <v>1040</v>
          </cell>
          <cell r="E115">
            <v>50</v>
          </cell>
          <cell r="F115">
            <v>1854</v>
          </cell>
          <cell r="G115">
            <v>200</v>
          </cell>
          <cell r="H115">
            <v>174</v>
          </cell>
          <cell r="I115">
            <v>682.5</v>
          </cell>
          <cell r="J115">
            <v>682.5</v>
          </cell>
          <cell r="K115">
            <v>682.5</v>
          </cell>
          <cell r="L115">
            <v>682.5</v>
          </cell>
          <cell r="M115">
            <v>682.5</v>
          </cell>
          <cell r="N115">
            <v>7347.5</v>
          </cell>
          <cell r="P115">
            <v>3935</v>
          </cell>
          <cell r="Q115">
            <v>3412.5</v>
          </cell>
          <cell r="R115">
            <v>7347.5</v>
          </cell>
        </row>
        <row r="116">
          <cell r="A116" t="str">
            <v>Computer Repairs &amp; Maintenance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40</v>
          </cell>
          <cell r="G116">
            <v>0</v>
          </cell>
          <cell r="H116">
            <v>799</v>
          </cell>
          <cell r="I116">
            <v>227.5</v>
          </cell>
          <cell r="J116">
            <v>227.5</v>
          </cell>
          <cell r="K116">
            <v>227.5</v>
          </cell>
          <cell r="L116">
            <v>227.5</v>
          </cell>
          <cell r="M116">
            <v>227.5</v>
          </cell>
          <cell r="N116">
            <v>1976.5</v>
          </cell>
          <cell r="P116">
            <v>839</v>
          </cell>
          <cell r="Q116">
            <v>1137.5</v>
          </cell>
          <cell r="R116">
            <v>1976.5</v>
          </cell>
        </row>
        <row r="117">
          <cell r="A117" t="str">
            <v>Miscellaneous Expenses</v>
          </cell>
          <cell r="B117">
            <v>0</v>
          </cell>
          <cell r="C117">
            <v>2077</v>
          </cell>
          <cell r="D117">
            <v>1185</v>
          </cell>
          <cell r="E117">
            <v>-261</v>
          </cell>
          <cell r="F117">
            <v>1327</v>
          </cell>
          <cell r="G117">
            <v>499</v>
          </cell>
          <cell r="H117">
            <v>305</v>
          </cell>
          <cell r="I117">
            <v>182</v>
          </cell>
          <cell r="J117">
            <v>182</v>
          </cell>
          <cell r="K117">
            <v>182</v>
          </cell>
          <cell r="L117">
            <v>182</v>
          </cell>
          <cell r="M117">
            <v>182</v>
          </cell>
          <cell r="N117">
            <v>6042</v>
          </cell>
          <cell r="P117">
            <v>5132</v>
          </cell>
          <cell r="Q117">
            <v>910</v>
          </cell>
          <cell r="R117">
            <v>6042</v>
          </cell>
        </row>
        <row r="118">
          <cell r="B118">
            <v>1513</v>
          </cell>
          <cell r="C118">
            <v>4758</v>
          </cell>
          <cell r="D118">
            <v>7291</v>
          </cell>
          <cell r="E118">
            <v>3968</v>
          </cell>
          <cell r="F118">
            <v>5573</v>
          </cell>
          <cell r="G118">
            <v>2839</v>
          </cell>
          <cell r="H118">
            <v>5286</v>
          </cell>
          <cell r="I118">
            <v>3546.1825000000003</v>
          </cell>
          <cell r="J118">
            <v>3546.1825000000003</v>
          </cell>
          <cell r="K118">
            <v>3546.1825000000003</v>
          </cell>
          <cell r="L118">
            <v>3546.1825000000003</v>
          </cell>
          <cell r="M118">
            <v>3546.1825000000003</v>
          </cell>
          <cell r="N118">
            <v>48958.912500000006</v>
          </cell>
          <cell r="P118">
            <v>31228</v>
          </cell>
          <cell r="Q118">
            <v>17730.912499999999</v>
          </cell>
          <cell r="R118">
            <v>48958.912499999999</v>
          </cell>
        </row>
        <row r="120">
          <cell r="A120" t="str">
            <v>Profit After Operating Expenses</v>
          </cell>
          <cell r="B120">
            <v>165740</v>
          </cell>
          <cell r="C120">
            <v>83279</v>
          </cell>
          <cell r="D120">
            <v>-97319</v>
          </cell>
          <cell r="E120">
            <v>-25686</v>
          </cell>
          <cell r="F120">
            <v>-10355.340000000026</v>
          </cell>
          <cell r="G120">
            <v>-36558.840000000026</v>
          </cell>
          <cell r="H120">
            <v>-63085</v>
          </cell>
          <cell r="I120">
            <v>-3348.0476733332907</v>
          </cell>
          <cell r="J120">
            <v>-8324.5537533333118</v>
          </cell>
          <cell r="K120">
            <v>2908.4584066667303</v>
          </cell>
          <cell r="L120">
            <v>-18126.898633333272</v>
          </cell>
          <cell r="M120">
            <v>2190.7876866667357</v>
          </cell>
          <cell r="N120">
            <v>-8685.43396666646</v>
          </cell>
          <cell r="P120">
            <v>16014.819999999832</v>
          </cell>
          <cell r="Q120">
            <v>-24700.253966666547</v>
          </cell>
          <cell r="R120">
            <v>-8685.4339666668311</v>
          </cell>
        </row>
        <row r="122">
          <cell r="A122" t="str">
            <v>Fixed Expense</v>
          </cell>
        </row>
        <row r="123">
          <cell r="A123" t="str">
            <v>Rent Expense</v>
          </cell>
          <cell r="B123">
            <v>39367.777777777781</v>
          </cell>
          <cell r="C123">
            <v>39367.777777777781</v>
          </cell>
          <cell r="D123">
            <v>39367.777777777781</v>
          </cell>
          <cell r="E123">
            <v>44063</v>
          </cell>
          <cell r="F123">
            <v>39367.777777777781</v>
          </cell>
          <cell r="G123">
            <v>34673</v>
          </cell>
          <cell r="H123">
            <v>39368</v>
          </cell>
          <cell r="I123">
            <v>39367.777777777781</v>
          </cell>
          <cell r="J123">
            <v>39367.777777777781</v>
          </cell>
          <cell r="K123">
            <v>39367.777777777781</v>
          </cell>
          <cell r="L123">
            <v>39367.777777777781</v>
          </cell>
          <cell r="M123">
            <v>39367.777777777781</v>
          </cell>
          <cell r="N123">
            <v>472413.99999999988</v>
          </cell>
          <cell r="P123">
            <v>275575.11111111112</v>
          </cell>
          <cell r="Q123">
            <v>196838.88888888891</v>
          </cell>
          <cell r="R123">
            <v>472414</v>
          </cell>
        </row>
        <row r="124">
          <cell r="A124" t="str">
            <v>CAM, TMI &amp; Merchant Assoc. Dues</v>
          </cell>
          <cell r="B124">
            <v>17499.937499999996</v>
          </cell>
          <cell r="C124">
            <v>17499.937499999996</v>
          </cell>
          <cell r="D124">
            <v>34065</v>
          </cell>
          <cell r="E124">
            <v>26217</v>
          </cell>
          <cell r="F124">
            <v>26217</v>
          </cell>
          <cell r="G124">
            <v>9587</v>
          </cell>
          <cell r="H124">
            <v>0</v>
          </cell>
          <cell r="I124">
            <v>26218</v>
          </cell>
          <cell r="J124">
            <v>26218</v>
          </cell>
          <cell r="K124">
            <v>26218</v>
          </cell>
          <cell r="L124">
            <v>26218</v>
          </cell>
          <cell r="M124">
            <v>26218</v>
          </cell>
          <cell r="N124">
            <v>262175.875</v>
          </cell>
          <cell r="P124">
            <v>131085.875</v>
          </cell>
          <cell r="Q124">
            <v>131090</v>
          </cell>
          <cell r="R124">
            <v>262175.875</v>
          </cell>
        </row>
        <row r="125">
          <cell r="A125" t="str">
            <v>Property &amp; Rent Taxes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P125">
            <v>0</v>
          </cell>
          <cell r="Q125">
            <v>0</v>
          </cell>
          <cell r="R125">
            <v>0</v>
          </cell>
        </row>
        <row r="126">
          <cell r="A126" t="str">
            <v>Leasing Expense</v>
          </cell>
          <cell r="B126">
            <v>10085</v>
          </cell>
          <cell r="C126">
            <v>10085</v>
          </cell>
          <cell r="D126">
            <v>11446</v>
          </cell>
          <cell r="E126">
            <v>10685</v>
          </cell>
          <cell r="F126">
            <v>10385</v>
          </cell>
          <cell r="G126">
            <v>13409</v>
          </cell>
          <cell r="H126">
            <v>6643</v>
          </cell>
          <cell r="I126">
            <v>10777.64</v>
          </cell>
          <cell r="J126">
            <v>10777.64</v>
          </cell>
          <cell r="K126">
            <v>10777.64</v>
          </cell>
          <cell r="L126">
            <v>10777.64</v>
          </cell>
          <cell r="M126">
            <v>10777.64</v>
          </cell>
          <cell r="N126">
            <v>126626.2</v>
          </cell>
          <cell r="P126">
            <v>72738</v>
          </cell>
          <cell r="Q126">
            <v>53888.2</v>
          </cell>
          <cell r="R126">
            <v>126626.2</v>
          </cell>
        </row>
        <row r="127">
          <cell r="A127" t="str">
            <v>Property &amp; Prof. Liab Insurance</v>
          </cell>
          <cell r="B127">
            <v>1333</v>
          </cell>
          <cell r="C127">
            <v>1333</v>
          </cell>
          <cell r="D127">
            <v>1333</v>
          </cell>
          <cell r="E127">
            <v>-1903</v>
          </cell>
          <cell r="F127">
            <v>524</v>
          </cell>
          <cell r="G127">
            <v>522</v>
          </cell>
          <cell r="H127">
            <v>524</v>
          </cell>
          <cell r="I127">
            <v>1400</v>
          </cell>
          <cell r="J127">
            <v>1400</v>
          </cell>
          <cell r="K127">
            <v>1400</v>
          </cell>
          <cell r="L127">
            <v>1400</v>
          </cell>
          <cell r="M127">
            <v>1400</v>
          </cell>
          <cell r="N127">
            <v>10666</v>
          </cell>
          <cell r="P127">
            <v>3666</v>
          </cell>
          <cell r="Q127">
            <v>7000</v>
          </cell>
          <cell r="R127">
            <v>10666</v>
          </cell>
        </row>
        <row r="128">
          <cell r="A128" t="str">
            <v>Interest Expense / (Income)</v>
          </cell>
          <cell r="B128">
            <v>476.12097754913333</v>
          </cell>
          <cell r="C128">
            <v>476</v>
          </cell>
          <cell r="D128">
            <v>1652</v>
          </cell>
          <cell r="E128">
            <v>476</v>
          </cell>
          <cell r="F128">
            <v>623</v>
          </cell>
          <cell r="G128">
            <v>471</v>
          </cell>
          <cell r="H128">
            <v>470</v>
          </cell>
          <cell r="I128">
            <v>469</v>
          </cell>
          <cell r="J128">
            <v>468</v>
          </cell>
          <cell r="K128">
            <v>466</v>
          </cell>
          <cell r="L128">
            <v>465</v>
          </cell>
          <cell r="M128">
            <v>464</v>
          </cell>
          <cell r="N128">
            <v>6976.1209775491334</v>
          </cell>
          <cell r="P128">
            <v>4644.1209775491334</v>
          </cell>
          <cell r="Q128">
            <v>2332</v>
          </cell>
          <cell r="R128">
            <v>6976.1209775491334</v>
          </cell>
        </row>
        <row r="129">
          <cell r="A129" t="str">
            <v>Depreciation</v>
          </cell>
          <cell r="B129">
            <v>362</v>
          </cell>
          <cell r="C129">
            <v>362</v>
          </cell>
          <cell r="D129">
            <v>2309</v>
          </cell>
          <cell r="E129">
            <v>362</v>
          </cell>
          <cell r="F129">
            <v>4063</v>
          </cell>
          <cell r="G129">
            <v>4702</v>
          </cell>
          <cell r="H129">
            <v>3924</v>
          </cell>
          <cell r="I129">
            <v>8000</v>
          </cell>
          <cell r="J129">
            <v>8000</v>
          </cell>
          <cell r="K129">
            <v>8000</v>
          </cell>
          <cell r="L129">
            <v>8000</v>
          </cell>
          <cell r="M129">
            <v>8000</v>
          </cell>
          <cell r="N129">
            <v>56084</v>
          </cell>
          <cell r="P129">
            <v>16084</v>
          </cell>
          <cell r="Q129">
            <v>40000</v>
          </cell>
          <cell r="R129">
            <v>56084</v>
          </cell>
        </row>
        <row r="130">
          <cell r="A130" t="str">
            <v>Amortization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P130">
            <v>0</v>
          </cell>
          <cell r="Q130">
            <v>0</v>
          </cell>
          <cell r="R130">
            <v>0</v>
          </cell>
        </row>
        <row r="131">
          <cell r="B131">
            <v>69123.836255326911</v>
          </cell>
          <cell r="C131">
            <v>69123.715277777781</v>
          </cell>
          <cell r="D131">
            <v>90172.777777777781</v>
          </cell>
          <cell r="E131">
            <v>79900</v>
          </cell>
          <cell r="F131">
            <v>81179.777777777781</v>
          </cell>
          <cell r="G131">
            <v>63364</v>
          </cell>
          <cell r="H131">
            <v>50929</v>
          </cell>
          <cell r="I131">
            <v>86232.41777777778</v>
          </cell>
          <cell r="J131">
            <v>86231.41777777778</v>
          </cell>
          <cell r="K131">
            <v>86229.41777777778</v>
          </cell>
          <cell r="L131">
            <v>86228.41777777778</v>
          </cell>
          <cell r="M131">
            <v>86227.41777777778</v>
          </cell>
          <cell r="N131">
            <v>934942.19597754907</v>
          </cell>
          <cell r="P131">
            <v>503793.10708866024</v>
          </cell>
          <cell r="Q131">
            <v>431149.08888888889</v>
          </cell>
          <cell r="R131">
            <v>934942.19597754907</v>
          </cell>
        </row>
        <row r="133">
          <cell r="A133" t="str">
            <v>Profit before Taxes</v>
          </cell>
          <cell r="B133">
            <v>96616.163744673089</v>
          </cell>
          <cell r="C133">
            <v>14155.284722222219</v>
          </cell>
          <cell r="D133">
            <v>-187491.77777777778</v>
          </cell>
          <cell r="E133">
            <v>-105586</v>
          </cell>
          <cell r="F133">
            <v>-91535.117777777807</v>
          </cell>
          <cell r="G133">
            <v>-99922.840000000026</v>
          </cell>
          <cell r="H133">
            <v>-114014</v>
          </cell>
          <cell r="I133">
            <v>-89580.465451111071</v>
          </cell>
          <cell r="J133">
            <v>-94555.971531111092</v>
          </cell>
          <cell r="K133">
            <v>-83320.95937111105</v>
          </cell>
          <cell r="L133">
            <v>-104355.31641111105</v>
          </cell>
          <cell r="M133">
            <v>-84036.630091111045</v>
          </cell>
          <cell r="N133">
            <v>-943627.62994421553</v>
          </cell>
          <cell r="P133">
            <v>-487778.28708866041</v>
          </cell>
          <cell r="Q133">
            <v>-455849.34285555541</v>
          </cell>
          <cell r="R133">
            <v>-943627.62994421588</v>
          </cell>
        </row>
        <row r="135">
          <cell r="A135" t="str">
            <v>Other Income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-97</v>
          </cell>
          <cell r="H135">
            <v>-811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-908</v>
          </cell>
          <cell r="P135">
            <v>-908</v>
          </cell>
          <cell r="Q135">
            <v>0</v>
          </cell>
          <cell r="R135">
            <v>-908</v>
          </cell>
        </row>
        <row r="137">
          <cell r="A137" t="str">
            <v>Net Income/(Loss)</v>
          </cell>
          <cell r="B137">
            <v>96616.163744673089</v>
          </cell>
          <cell r="C137">
            <v>14155.284722222219</v>
          </cell>
          <cell r="D137">
            <v>-187491.77777777778</v>
          </cell>
          <cell r="E137">
            <v>-105586</v>
          </cell>
          <cell r="F137">
            <v>-91535.117777777807</v>
          </cell>
          <cell r="G137">
            <v>-99825.840000000026</v>
          </cell>
          <cell r="H137">
            <v>-113203</v>
          </cell>
          <cell r="I137">
            <v>-89580.465451111071</v>
          </cell>
          <cell r="J137">
            <v>-94555.971531111092</v>
          </cell>
          <cell r="K137">
            <v>-83320.95937111105</v>
          </cell>
          <cell r="L137">
            <v>-104355.31641111105</v>
          </cell>
          <cell r="M137">
            <v>-84036.630091111045</v>
          </cell>
          <cell r="N137">
            <v>-942719.62994421553</v>
          </cell>
          <cell r="P137">
            <v>-486870.28708866041</v>
          </cell>
          <cell r="Q137">
            <v>-455849.34285555541</v>
          </cell>
          <cell r="R137">
            <v>-942719.62994421588</v>
          </cell>
        </row>
        <row r="139">
          <cell r="A139" t="str">
            <v>Add back ASI Management Fee</v>
          </cell>
          <cell r="B139">
            <v>58283</v>
          </cell>
          <cell r="C139">
            <v>63568</v>
          </cell>
          <cell r="D139">
            <v>83551</v>
          </cell>
          <cell r="E139">
            <v>73313</v>
          </cell>
          <cell r="F139">
            <v>71865</v>
          </cell>
          <cell r="G139">
            <v>74859</v>
          </cell>
          <cell r="H139">
            <v>73875</v>
          </cell>
          <cell r="I139">
            <v>74690.07084</v>
          </cell>
          <cell r="J139">
            <v>75339.799920000005</v>
          </cell>
          <cell r="K139">
            <v>75140.34176000001</v>
          </cell>
          <cell r="L139">
            <v>74906.642800000001</v>
          </cell>
          <cell r="M139">
            <v>79973.494480000008</v>
          </cell>
          <cell r="N139">
            <v>879364.34979999997</v>
          </cell>
          <cell r="P139">
            <v>499314</v>
          </cell>
          <cell r="Q139">
            <v>380050.34980000003</v>
          </cell>
          <cell r="R139">
            <v>879364.34979999997</v>
          </cell>
        </row>
        <row r="141">
          <cell r="A141" t="str">
            <v>Net Income Before ASI Fee</v>
          </cell>
          <cell r="B141">
            <v>154899.16374467307</v>
          </cell>
          <cell r="C141">
            <v>77723.284722222219</v>
          </cell>
          <cell r="D141">
            <v>-103940.77777777778</v>
          </cell>
          <cell r="E141">
            <v>-32273</v>
          </cell>
          <cell r="F141">
            <v>-19670.117777777807</v>
          </cell>
          <cell r="G141">
            <v>-24966.840000000026</v>
          </cell>
          <cell r="H141">
            <v>-39328</v>
          </cell>
          <cell r="I141">
            <v>-14890.394611111071</v>
          </cell>
          <cell r="J141">
            <v>-19216.171611111087</v>
          </cell>
          <cell r="K141">
            <v>-8180.6176111110399</v>
          </cell>
          <cell r="L141">
            <v>-29448.673611111051</v>
          </cell>
          <cell r="M141">
            <v>-4063.1356111110363</v>
          </cell>
          <cell r="N141">
            <v>-63355.280144215591</v>
          </cell>
          <cell r="P141">
            <v>12443.712911339593</v>
          </cell>
          <cell r="Q141">
            <v>-75798.993055555387</v>
          </cell>
          <cell r="R141">
            <v>-63355.280144215911</v>
          </cell>
        </row>
      </sheetData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AP472"/>
  <sheetViews>
    <sheetView tabSelected="1" topLeftCell="B1" zoomScaleNormal="100" workbookViewId="0">
      <selection activeCell="B1" sqref="B1"/>
    </sheetView>
  </sheetViews>
  <sheetFormatPr defaultColWidth="9.33203125" defaultRowHeight="13.2" x14ac:dyDescent="0.25"/>
  <cols>
    <col min="1" max="1" width="6.33203125" style="9" hidden="1" customWidth="1"/>
    <col min="2" max="2" width="4" style="79" customWidth="1"/>
    <col min="3" max="4" width="5" style="79" customWidth="1"/>
    <col min="5" max="5" width="4" style="79" customWidth="1"/>
    <col min="6" max="6" width="39.44140625" style="77" customWidth="1"/>
    <col min="7" max="8" width="12.33203125" style="88" customWidth="1"/>
    <col min="9" max="9" width="13.44140625" style="88" bestFit="1" customWidth="1"/>
    <col min="10" max="10" width="4.44140625" style="1" hidden="1" customWidth="1"/>
    <col min="11" max="11" width="1.6640625" style="77" hidden="1" customWidth="1"/>
    <col min="12" max="13" width="11.6640625" style="1" hidden="1" customWidth="1"/>
    <col min="14" max="14" width="12.33203125" style="1" hidden="1" customWidth="1"/>
    <col min="15" max="15" width="10.6640625" style="1" hidden="1" customWidth="1"/>
    <col min="16" max="17" width="11.33203125" style="1" hidden="1" customWidth="1"/>
    <col min="18" max="21" width="14.6640625" style="129" hidden="1" customWidth="1"/>
    <col min="22" max="22" width="10.6640625" style="129" hidden="1" customWidth="1"/>
    <col min="23" max="24" width="10.6640625" style="1" hidden="1" customWidth="1"/>
    <col min="25" max="25" width="9.33203125" style="77" hidden="1" customWidth="1"/>
    <col min="26" max="28" width="12.33203125" style="88" hidden="1" customWidth="1"/>
    <col min="29" max="29" width="1.6640625" style="77" hidden="1" customWidth="1"/>
    <col min="30" max="32" width="12.33203125" style="88" hidden="1" customWidth="1"/>
    <col min="33" max="33" width="1.6640625" style="77" hidden="1" customWidth="1"/>
    <col min="34" max="36" width="12.33203125" style="88" hidden="1" customWidth="1"/>
    <col min="37" max="37" width="1.6640625" style="77" hidden="1" customWidth="1"/>
    <col min="38" max="40" width="12.33203125" style="88" hidden="1" customWidth="1"/>
    <col min="41" max="41" width="26.5546875" style="77" hidden="1" customWidth="1"/>
    <col min="42" max="44" width="9.33203125" style="77" customWidth="1"/>
    <col min="45" max="16384" width="9.33203125" style="77"/>
  </cols>
  <sheetData>
    <row r="1" spans="1:41" x14ac:dyDescent="0.25">
      <c r="A1" s="9" t="s">
        <v>0</v>
      </c>
      <c r="B1" s="68" t="s">
        <v>1</v>
      </c>
      <c r="C1" s="68"/>
      <c r="D1" s="68"/>
      <c r="E1" s="68"/>
      <c r="F1" s="68"/>
      <c r="G1" s="68"/>
      <c r="H1" s="68"/>
      <c r="I1" s="68"/>
      <c r="J1" s="129" t="s">
        <v>2</v>
      </c>
      <c r="L1" s="129"/>
      <c r="M1" s="129"/>
      <c r="N1" s="129"/>
      <c r="O1" s="129"/>
      <c r="P1" s="129"/>
      <c r="Q1" s="129"/>
      <c r="W1" s="129"/>
      <c r="X1" s="129"/>
      <c r="Z1" s="68"/>
      <c r="AA1" s="68"/>
      <c r="AB1" s="68"/>
      <c r="AD1" s="68"/>
      <c r="AE1" s="68"/>
      <c r="AF1" s="68"/>
      <c r="AH1" s="68"/>
      <c r="AI1" s="68"/>
      <c r="AJ1" s="68"/>
      <c r="AL1" s="68"/>
      <c r="AM1" s="68"/>
      <c r="AN1" s="68"/>
    </row>
    <row r="2" spans="1:41" s="78" customFormat="1" x14ac:dyDescent="0.25">
      <c r="A2" s="9"/>
      <c r="B2" s="68" t="s">
        <v>3</v>
      </c>
      <c r="C2" s="68"/>
      <c r="D2" s="68"/>
      <c r="E2" s="68"/>
      <c r="F2" s="68"/>
      <c r="G2" s="68"/>
      <c r="H2" s="68"/>
      <c r="I2" s="68"/>
      <c r="J2" s="129" t="s">
        <v>2</v>
      </c>
      <c r="K2" s="77"/>
      <c r="L2" s="129"/>
      <c r="M2" s="129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Z2" s="68"/>
      <c r="AA2" s="68"/>
      <c r="AB2" s="68"/>
      <c r="AD2" s="68"/>
      <c r="AE2" s="68"/>
      <c r="AF2" s="68"/>
      <c r="AH2" s="68"/>
      <c r="AI2" s="68"/>
      <c r="AJ2" s="68"/>
      <c r="AL2" s="68"/>
      <c r="AM2" s="68"/>
      <c r="AN2" s="68"/>
    </row>
    <row r="3" spans="1:41" s="78" customFormat="1" x14ac:dyDescent="0.25">
      <c r="A3" s="9"/>
      <c r="B3" s="68" t="s">
        <v>4</v>
      </c>
      <c r="C3" s="68"/>
      <c r="D3" s="68"/>
      <c r="E3" s="68"/>
      <c r="F3" s="68"/>
      <c r="G3" s="68"/>
      <c r="H3" s="68"/>
      <c r="I3" s="68"/>
      <c r="J3" s="129" t="s">
        <v>2</v>
      </c>
      <c r="K3" s="77"/>
      <c r="L3" s="129"/>
      <c r="M3" s="129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Z3" s="68"/>
      <c r="AA3" s="68"/>
      <c r="AB3" s="68"/>
      <c r="AD3" s="68"/>
      <c r="AE3" s="68"/>
      <c r="AF3" s="68"/>
      <c r="AH3" s="68"/>
      <c r="AI3" s="68"/>
      <c r="AJ3" s="68"/>
      <c r="AL3" s="68"/>
      <c r="AM3" s="68"/>
      <c r="AN3" s="68"/>
    </row>
    <row r="4" spans="1:41" s="78" customFormat="1" x14ac:dyDescent="0.25">
      <c r="A4" s="9"/>
      <c r="B4" s="68" t="s">
        <v>5</v>
      </c>
      <c r="C4" s="68"/>
      <c r="D4" s="68"/>
      <c r="E4" s="68"/>
      <c r="F4" s="68"/>
      <c r="G4" s="68"/>
      <c r="H4" s="68"/>
      <c r="I4" s="140"/>
      <c r="J4" s="129" t="s">
        <v>2</v>
      </c>
      <c r="K4" s="77"/>
      <c r="L4" s="129"/>
      <c r="M4" s="129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68"/>
      <c r="AA4" s="68"/>
      <c r="AB4" s="68"/>
      <c r="AD4" s="68"/>
      <c r="AE4" s="68"/>
      <c r="AF4" s="68"/>
      <c r="AH4" s="68"/>
      <c r="AI4" s="68"/>
      <c r="AJ4" s="68"/>
      <c r="AL4" s="68"/>
      <c r="AM4" s="68"/>
      <c r="AN4" s="68"/>
    </row>
    <row r="5" spans="1:41" s="78" customFormat="1" x14ac:dyDescent="0.25">
      <c r="A5" s="9"/>
      <c r="B5" s="69" t="s">
        <v>373</v>
      </c>
      <c r="C5" s="69"/>
      <c r="D5" s="69"/>
      <c r="E5" s="69"/>
      <c r="F5" s="69"/>
      <c r="G5" s="69"/>
      <c r="H5" s="69"/>
      <c r="I5" s="69"/>
      <c r="J5" s="129" t="s">
        <v>2</v>
      </c>
      <c r="K5" s="77"/>
      <c r="L5" s="129"/>
      <c r="M5" s="129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Z5" s="69"/>
      <c r="AA5" s="69"/>
      <c r="AB5" s="69"/>
      <c r="AD5" s="69"/>
      <c r="AE5" s="69"/>
      <c r="AF5" s="69"/>
      <c r="AH5" s="69"/>
      <c r="AI5" s="69"/>
      <c r="AJ5" s="69"/>
      <c r="AL5" s="69"/>
      <c r="AM5" s="69"/>
      <c r="AN5" s="69"/>
    </row>
    <row r="6" spans="1:41" s="78" customFormat="1" x14ac:dyDescent="0.25">
      <c r="A6" s="9"/>
      <c r="B6" s="70"/>
      <c r="C6" s="70"/>
      <c r="D6" s="70"/>
      <c r="E6" s="70"/>
      <c r="F6" s="70"/>
      <c r="G6" s="71"/>
      <c r="H6" s="71"/>
      <c r="I6" s="71"/>
      <c r="J6" s="129" t="s">
        <v>2</v>
      </c>
      <c r="K6" s="77"/>
      <c r="L6" s="129"/>
      <c r="M6" s="129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Z6" s="71"/>
      <c r="AA6" s="71"/>
      <c r="AB6" s="71"/>
      <c r="AD6" s="71"/>
      <c r="AE6" s="71"/>
      <c r="AF6" s="71"/>
      <c r="AH6" s="71"/>
      <c r="AI6" s="71"/>
      <c r="AJ6" s="71"/>
      <c r="AL6" s="71"/>
      <c r="AM6" s="71"/>
      <c r="AN6" s="71"/>
    </row>
    <row r="7" spans="1:41" s="78" customFormat="1" ht="16.8" x14ac:dyDescent="0.55000000000000004">
      <c r="A7" s="9"/>
      <c r="B7" s="70"/>
      <c r="C7" s="70"/>
      <c r="D7" s="70"/>
      <c r="E7" s="70"/>
      <c r="F7" s="70"/>
      <c r="G7" s="270" t="s">
        <v>7</v>
      </c>
      <c r="H7" s="270"/>
      <c r="I7" s="270"/>
      <c r="J7" s="129" t="s">
        <v>2</v>
      </c>
      <c r="K7" s="77"/>
      <c r="L7" s="129"/>
      <c r="M7" s="129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Z7" s="270" t="s">
        <v>6</v>
      </c>
      <c r="AA7" s="270"/>
      <c r="AB7" s="270"/>
      <c r="AD7" s="270" t="s">
        <v>7</v>
      </c>
      <c r="AE7" s="270"/>
      <c r="AF7" s="270"/>
      <c r="AH7" s="270" t="s">
        <v>8</v>
      </c>
      <c r="AI7" s="270"/>
      <c r="AJ7" s="270"/>
      <c r="AL7" s="270" t="s">
        <v>9</v>
      </c>
      <c r="AM7" s="270"/>
      <c r="AN7" s="270"/>
      <c r="AO7" s="165"/>
    </row>
    <row r="8" spans="1:41" s="78" customFormat="1" x14ac:dyDescent="0.25">
      <c r="A8" s="9"/>
      <c r="B8" s="70"/>
      <c r="C8" s="70"/>
      <c r="D8" s="70"/>
      <c r="E8" s="70"/>
      <c r="F8" s="70"/>
      <c r="G8" s="71"/>
      <c r="H8" s="71"/>
      <c r="I8" s="71"/>
      <c r="J8" s="129" t="s">
        <v>2</v>
      </c>
      <c r="K8" s="77"/>
      <c r="L8" s="129"/>
      <c r="M8" s="129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Z8" s="71"/>
      <c r="AA8" s="71"/>
      <c r="AB8" s="71"/>
      <c r="AD8" s="71"/>
      <c r="AE8" s="71"/>
      <c r="AF8" s="71"/>
      <c r="AH8" s="71"/>
      <c r="AI8" s="71"/>
      <c r="AJ8" s="71"/>
      <c r="AL8" s="71"/>
      <c r="AM8" s="71"/>
      <c r="AN8" s="71"/>
    </row>
    <row r="9" spans="1:41" s="75" customFormat="1" x14ac:dyDescent="0.25">
      <c r="A9" s="10"/>
      <c r="B9" s="72" t="s">
        <v>10</v>
      </c>
      <c r="C9" s="72"/>
      <c r="D9" s="72"/>
      <c r="E9" s="72"/>
      <c r="F9" s="73" t="s">
        <v>11</v>
      </c>
      <c r="G9" s="73" t="s">
        <v>12</v>
      </c>
      <c r="H9" s="73" t="s">
        <v>13</v>
      </c>
      <c r="I9" s="73" t="s">
        <v>14</v>
      </c>
      <c r="J9" s="129" t="s">
        <v>2</v>
      </c>
      <c r="K9" s="77"/>
      <c r="L9" s="129"/>
      <c r="M9" s="129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Z9" s="73" t="s">
        <v>12</v>
      </c>
      <c r="AA9" s="73" t="s">
        <v>13</v>
      </c>
      <c r="AB9" s="73" t="s">
        <v>14</v>
      </c>
      <c r="AD9" s="73" t="s">
        <v>12</v>
      </c>
      <c r="AE9" s="73" t="s">
        <v>13</v>
      </c>
      <c r="AF9" s="73" t="s">
        <v>14</v>
      </c>
      <c r="AH9" s="73" t="s">
        <v>12</v>
      </c>
      <c r="AI9" s="73" t="s">
        <v>13</v>
      </c>
      <c r="AJ9" s="73" t="s">
        <v>14</v>
      </c>
      <c r="AL9" s="73" t="s">
        <v>12</v>
      </c>
      <c r="AM9" s="73" t="s">
        <v>13</v>
      </c>
      <c r="AN9" s="73" t="s">
        <v>14</v>
      </c>
      <c r="AO9" s="165"/>
    </row>
    <row r="10" spans="1:41" s="75" customFormat="1" ht="12.75" customHeight="1" x14ac:dyDescent="0.25">
      <c r="A10" s="10"/>
      <c r="B10" s="74"/>
      <c r="C10" s="74"/>
      <c r="D10" s="74"/>
      <c r="E10" s="74"/>
      <c r="G10" s="76"/>
      <c r="H10" s="76"/>
      <c r="I10" s="76"/>
      <c r="J10" s="129" t="s">
        <v>2</v>
      </c>
      <c r="K10" s="77"/>
      <c r="L10" s="129"/>
      <c r="M10" s="129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Z10" s="76"/>
      <c r="AA10" s="76"/>
      <c r="AB10" s="76"/>
      <c r="AD10" s="76"/>
      <c r="AE10" s="76"/>
      <c r="AF10" s="76"/>
      <c r="AH10" s="76"/>
      <c r="AI10" s="76"/>
      <c r="AJ10" s="76"/>
      <c r="AL10" s="76"/>
      <c r="AM10" s="76"/>
      <c r="AN10" s="76"/>
    </row>
    <row r="11" spans="1:41" s="4" customFormat="1" ht="12.75" customHeight="1" x14ac:dyDescent="0.25">
      <c r="A11" s="10"/>
      <c r="B11" s="5" t="s">
        <v>15</v>
      </c>
      <c r="C11" s="5"/>
      <c r="D11" s="5"/>
      <c r="E11" s="5"/>
      <c r="G11" s="105">
        <f>+H11+I11</f>
        <v>530</v>
      </c>
      <c r="H11" s="105">
        <f>+'Revenue Input'!O74</f>
        <v>300</v>
      </c>
      <c r="I11" s="105">
        <f>+'Revenue Input'!O78</f>
        <v>230</v>
      </c>
      <c r="J11" s="129" t="s">
        <v>2</v>
      </c>
      <c r="Z11" s="105">
        <f>+AA11+AB11</f>
        <v>650</v>
      </c>
      <c r="AA11" s="105">
        <v>325</v>
      </c>
      <c r="AB11" s="105">
        <v>325</v>
      </c>
      <c r="AD11" s="105">
        <f>+AE11+AF11</f>
        <v>650</v>
      </c>
      <c r="AE11" s="105">
        <v>325</v>
      </c>
      <c r="AF11" s="105">
        <v>325</v>
      </c>
      <c r="AH11" s="105">
        <f>+AI11+AJ11</f>
        <v>700</v>
      </c>
      <c r="AI11" s="105">
        <v>350</v>
      </c>
      <c r="AJ11" s="105">
        <v>350</v>
      </c>
      <c r="AL11" s="105">
        <f>+AM11+AN11</f>
        <v>700</v>
      </c>
      <c r="AM11" s="105">
        <v>350</v>
      </c>
      <c r="AN11" s="105">
        <v>350</v>
      </c>
      <c r="AO11" s="165"/>
    </row>
    <row r="12" spans="1:41" s="129" customFormat="1" ht="12.75" customHeight="1" x14ac:dyDescent="0.25">
      <c r="A12" s="9"/>
      <c r="B12" s="3"/>
      <c r="C12" s="3"/>
      <c r="D12" s="3"/>
      <c r="E12" s="3"/>
      <c r="G12" s="11"/>
      <c r="H12" s="262"/>
      <c r="I12" s="11"/>
      <c r="J12" s="129" t="s">
        <v>2</v>
      </c>
      <c r="K12" s="4"/>
      <c r="L12" s="4"/>
      <c r="M12" s="4"/>
      <c r="Z12" s="11"/>
      <c r="AA12" s="11"/>
      <c r="AB12" s="11"/>
      <c r="AD12" s="11"/>
      <c r="AE12" s="11"/>
      <c r="AF12" s="11"/>
      <c r="AH12" s="11"/>
      <c r="AI12" s="11"/>
      <c r="AJ12" s="11"/>
      <c r="AL12" s="11"/>
      <c r="AM12" s="11"/>
      <c r="AN12" s="11"/>
    </row>
    <row r="13" spans="1:41" s="129" customFormat="1" ht="12.75" hidden="1" customHeight="1" x14ac:dyDescent="0.25">
      <c r="A13" s="9"/>
      <c r="B13" s="3" t="s">
        <v>16</v>
      </c>
      <c r="C13" s="3"/>
      <c r="D13" s="3"/>
      <c r="E13" s="3"/>
      <c r="G13" s="11"/>
      <c r="H13" s="11"/>
      <c r="I13" s="11"/>
      <c r="K13" s="4"/>
      <c r="L13" s="4"/>
      <c r="M13" s="4"/>
      <c r="Z13" s="11"/>
      <c r="AA13" s="11">
        <f>((H19+H20)/H11*AA11)*101%</f>
        <v>2450599.6124999998</v>
      </c>
      <c r="AB13" s="11">
        <f>+(I19+I20)/I11*AB11*101%</f>
        <v>2268404.4500000002</v>
      </c>
      <c r="AD13" s="11"/>
      <c r="AE13" s="11">
        <f>((AA19+AA20)/AA11*AE11)*101%</f>
        <v>2475105.6086249999</v>
      </c>
      <c r="AF13" s="11">
        <f>+(AB19+AB20)/AB11*AF11*101%</f>
        <v>2291088.4945</v>
      </c>
      <c r="AH13" s="11"/>
      <c r="AI13" s="11">
        <f>((AE19+AE20)/AE11*AI11)*101%</f>
        <v>2692153.3312274995</v>
      </c>
      <c r="AJ13" s="11">
        <f>+(AF19+AF20)/AF11*AJ11*101%</f>
        <v>2491999.3317100001</v>
      </c>
      <c r="AL13" s="11"/>
      <c r="AM13" s="11">
        <f>((AI19+AI20)/AI11*AM11)*101%</f>
        <v>2719074.8645397746</v>
      </c>
      <c r="AN13" s="11">
        <f>+(AJ19+AJ20)/AJ11*AN11*101%</f>
        <v>2516919.3250271003</v>
      </c>
    </row>
    <row r="14" spans="1:41" s="129" customFormat="1" ht="12.75" hidden="1" customHeight="1" x14ac:dyDescent="0.25">
      <c r="A14" s="9"/>
      <c r="B14" s="3" t="s">
        <v>17</v>
      </c>
      <c r="C14" s="3"/>
      <c r="D14" s="3"/>
      <c r="E14" s="3"/>
      <c r="G14" s="11"/>
      <c r="H14" s="11"/>
      <c r="I14" s="11"/>
      <c r="K14" s="4"/>
      <c r="L14" s="4"/>
      <c r="M14" s="4"/>
      <c r="Z14" s="11"/>
      <c r="AA14" s="11">
        <f>+AA13*5%-AA15</f>
        <v>28276.149375000008</v>
      </c>
      <c r="AB14" s="11">
        <f>+AB13*5%-AB15</f>
        <v>26173.897500000006</v>
      </c>
      <c r="AD14" s="11"/>
      <c r="AE14" s="11">
        <f>+AE13*5%-AE15</f>
        <v>28558.910868749997</v>
      </c>
      <c r="AF14" s="11">
        <f>+AF13*5%-AF15</f>
        <v>26435.636474999992</v>
      </c>
      <c r="AH14" s="11"/>
      <c r="AI14" s="11">
        <f>+AI13*5%-AI15</f>
        <v>38459.333303249994</v>
      </c>
      <c r="AJ14" s="11">
        <f>+AJ13*5%-AJ15</f>
        <v>35599.990452999991</v>
      </c>
      <c r="AL14" s="11"/>
      <c r="AM14" s="11">
        <f>+AM13*5%-AM15</f>
        <v>38843.926636282486</v>
      </c>
      <c r="AN14" s="11">
        <f>+AN13*5%-AN15</f>
        <v>35955.990357529998</v>
      </c>
    </row>
    <row r="15" spans="1:41" s="129" customFormat="1" ht="12.75" hidden="1" customHeight="1" x14ac:dyDescent="0.25">
      <c r="A15" s="9"/>
      <c r="B15" s="3" t="s">
        <v>18</v>
      </c>
      <c r="C15" s="3"/>
      <c r="D15" s="3"/>
      <c r="E15" s="3"/>
      <c r="G15" s="11"/>
      <c r="H15" s="11"/>
      <c r="I15" s="11"/>
      <c r="K15" s="4"/>
      <c r="L15" s="4"/>
      <c r="M15" s="4"/>
      <c r="Z15" s="11"/>
      <c r="AA15" s="11">
        <f>+(AA13*5%)/AA11*250</f>
        <v>94253.831249999988</v>
      </c>
      <c r="AB15" s="11">
        <f>+(AB13*5%)/AB11*250</f>
        <v>87246.325000000012</v>
      </c>
      <c r="AD15" s="11"/>
      <c r="AE15" s="11">
        <f>+(AE13*5%)/AE11*250</f>
        <v>95196.369562499996</v>
      </c>
      <c r="AF15" s="11">
        <f>+(AF13*5%)/AF11*250</f>
        <v>88118.788250000012</v>
      </c>
      <c r="AH15" s="11"/>
      <c r="AI15" s="11">
        <f>+(AI13*5%)/AI11*250</f>
        <v>96148.333258125</v>
      </c>
      <c r="AJ15" s="11">
        <f>+(AJ13*5%)/AJ11*250</f>
        <v>88999.976132500015</v>
      </c>
      <c r="AL15" s="11"/>
      <c r="AM15" s="11">
        <f>+(AM13*5%)/AM11*250</f>
        <v>97109.81659070625</v>
      </c>
      <c r="AN15" s="11">
        <f>+(AN13*5%)/AN11*250</f>
        <v>89889.975893825016</v>
      </c>
    </row>
    <row r="16" spans="1:41" s="1" customFormat="1" ht="12.75" customHeight="1" x14ac:dyDescent="0.25">
      <c r="A16" s="9"/>
      <c r="B16" s="3"/>
      <c r="C16" s="3"/>
      <c r="D16" s="3"/>
      <c r="E16" s="3"/>
      <c r="F16" s="129"/>
      <c r="G16" s="11"/>
      <c r="H16" s="11"/>
      <c r="I16" s="11"/>
      <c r="J16" s="129" t="s">
        <v>2</v>
      </c>
      <c r="K16" s="4"/>
      <c r="L16" s="4"/>
      <c r="M16" s="4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1"/>
      <c r="AA16" s="11"/>
      <c r="AB16" s="11"/>
      <c r="AC16" s="129"/>
      <c r="AD16" s="11"/>
      <c r="AE16" s="11"/>
      <c r="AF16" s="11"/>
      <c r="AG16" s="129"/>
      <c r="AH16" s="11"/>
      <c r="AI16" s="11"/>
      <c r="AJ16" s="11"/>
      <c r="AK16" s="129"/>
      <c r="AL16" s="11"/>
      <c r="AM16" s="11"/>
      <c r="AN16" s="11"/>
      <c r="AO16" s="129"/>
    </row>
    <row r="17" spans="2:41" x14ac:dyDescent="0.25">
      <c r="F17" s="80" t="s">
        <v>19</v>
      </c>
      <c r="G17" s="81"/>
      <c r="H17" s="81"/>
      <c r="I17" s="81"/>
      <c r="J17" s="129" t="s">
        <v>2</v>
      </c>
      <c r="L17" s="129"/>
      <c r="M17" s="129"/>
      <c r="N17" s="129"/>
      <c r="O17" s="129"/>
      <c r="P17" s="129"/>
      <c r="Q17" s="129"/>
      <c r="W17" s="129"/>
      <c r="X17" s="129"/>
      <c r="Z17" s="81"/>
      <c r="AA17" s="81"/>
      <c r="AB17" s="81"/>
      <c r="AD17" s="81"/>
      <c r="AE17" s="81"/>
      <c r="AF17" s="81"/>
      <c r="AH17" s="81"/>
      <c r="AI17" s="81"/>
      <c r="AJ17" s="81"/>
      <c r="AL17" s="81"/>
      <c r="AM17" s="81"/>
      <c r="AN17" s="81"/>
    </row>
    <row r="18" spans="2:41" ht="12" customHeight="1" x14ac:dyDescent="0.25">
      <c r="F18" s="82"/>
      <c r="G18" s="81"/>
      <c r="H18" s="81"/>
      <c r="I18" s="81"/>
      <c r="J18" s="129" t="s">
        <v>2</v>
      </c>
      <c r="L18" s="9" t="s">
        <v>20</v>
      </c>
      <c r="M18" s="9" t="s">
        <v>20</v>
      </c>
      <c r="N18" s="9"/>
      <c r="O18" s="9"/>
      <c r="P18" s="9" t="s">
        <v>21</v>
      </c>
      <c r="Q18" s="9" t="s">
        <v>22</v>
      </c>
      <c r="R18" s="9" t="s">
        <v>23</v>
      </c>
      <c r="S18" s="9" t="s">
        <v>24</v>
      </c>
      <c r="T18" s="9" t="s">
        <v>25</v>
      </c>
      <c r="U18" s="9" t="s">
        <v>26</v>
      </c>
      <c r="V18" s="9" t="s">
        <v>27</v>
      </c>
      <c r="W18" s="9" t="s">
        <v>28</v>
      </c>
      <c r="X18" s="9" t="s">
        <v>29</v>
      </c>
      <c r="Z18" s="81"/>
      <c r="AA18" s="81"/>
      <c r="AB18" s="81"/>
      <c r="AD18" s="81"/>
      <c r="AE18" s="81"/>
      <c r="AF18" s="81"/>
      <c r="AH18" s="81"/>
      <c r="AI18" s="81"/>
      <c r="AJ18" s="81"/>
      <c r="AL18" s="81"/>
      <c r="AM18" s="81"/>
      <c r="AN18" s="81"/>
      <c r="AO18" s="165" t="s">
        <v>30</v>
      </c>
    </row>
    <row r="19" spans="2:41" x14ac:dyDescent="0.25">
      <c r="B19" s="63">
        <f>+'Revenue Input'!B11</f>
        <v>100</v>
      </c>
      <c r="C19" s="63">
        <f>+'Revenue Input'!C11</f>
        <v>3300</v>
      </c>
      <c r="D19" s="83">
        <f>+'Revenue Input'!D11</f>
        <v>0</v>
      </c>
      <c r="E19" s="84">
        <f>+'Revenue Input'!E11</f>
        <v>0</v>
      </c>
      <c r="F19" s="63" t="str">
        <f>+'Revenue Input'!F11</f>
        <v>FEFP - Bay District Schools</v>
      </c>
      <c r="G19" s="140">
        <f>+'Revenue Input'!O11</f>
        <v>3810468.875</v>
      </c>
      <c r="H19" s="140">
        <f>+'Revenue Input'!P11</f>
        <v>2221030.875</v>
      </c>
      <c r="I19" s="140">
        <f>+'Revenue Input'!Q11</f>
        <v>1589438</v>
      </c>
      <c r="J19" s="129" t="str">
        <f>IF(G19&gt;0.49,"*","")</f>
        <v>*</v>
      </c>
      <c r="L19" s="129"/>
      <c r="M19" s="129"/>
      <c r="N19" s="130"/>
      <c r="O19" s="136"/>
      <c r="P19" s="136">
        <f t="shared" ref="P19" si="0">IF(B19=490,G19,0)</f>
        <v>0</v>
      </c>
      <c r="Q19" s="136">
        <f t="shared" ref="Q19" si="1">IF(B19=410,H19,0)</f>
        <v>0</v>
      </c>
      <c r="R19" s="136">
        <f>IF(B19=432,H19,0)</f>
        <v>0</v>
      </c>
      <c r="S19" s="136">
        <f>IF(B19=432,I19,0)</f>
        <v>0</v>
      </c>
      <c r="T19" s="136">
        <f>IF($B19=435,H19,0)</f>
        <v>0</v>
      </c>
      <c r="U19" s="136">
        <f>IF($B19=435,I19,0)</f>
        <v>0</v>
      </c>
      <c r="V19" s="136">
        <f>IF(B19=360,I19,0)</f>
        <v>0</v>
      </c>
      <c r="W19" s="136">
        <f t="shared" ref="W19" si="2">IF(B19=410,I19,0)</f>
        <v>0</v>
      </c>
      <c r="X19" s="130">
        <f>+W19+Q19-O19</f>
        <v>0</v>
      </c>
      <c r="Z19" s="64">
        <f>AA19+AB19</f>
        <v>4664554.015625</v>
      </c>
      <c r="AA19" s="64">
        <f>+AA13-AA14</f>
        <v>2422323.4631249998</v>
      </c>
      <c r="AB19" s="64">
        <f>+AB13-AB14</f>
        <v>2242230.5525000002</v>
      </c>
      <c r="AD19" s="64">
        <f>AE19+AF19</f>
        <v>4711199.5557812499</v>
      </c>
      <c r="AE19" s="64">
        <f>+AE13-AE14</f>
        <v>2446546.6977562499</v>
      </c>
      <c r="AF19" s="64">
        <f>+AF13-AF14</f>
        <v>2264652.858025</v>
      </c>
      <c r="AH19" s="64">
        <f>AI19+AJ19</f>
        <v>5110093.33918125</v>
      </c>
      <c r="AI19" s="64">
        <f>+AI13-AI14</f>
        <v>2653693.9979242496</v>
      </c>
      <c r="AJ19" s="64">
        <f>+AJ13-AJ14</f>
        <v>2456399.3412569999</v>
      </c>
      <c r="AL19" s="64">
        <f>AM19+AN19</f>
        <v>5161194.2725730632</v>
      </c>
      <c r="AM19" s="64">
        <f>+AM13-AM14</f>
        <v>2680230.9379034922</v>
      </c>
      <c r="AN19" s="64">
        <f>+AN13-AN14</f>
        <v>2480963.3346695704</v>
      </c>
      <c r="AO19" s="165" t="s">
        <v>31</v>
      </c>
    </row>
    <row r="20" spans="2:41" x14ac:dyDescent="0.25">
      <c r="B20" s="63">
        <f>+'Revenue Input'!B12</f>
        <v>100</v>
      </c>
      <c r="C20" s="63">
        <f>+'Revenue Input'!C12</f>
        <v>3305</v>
      </c>
      <c r="D20" s="83">
        <f>+'Revenue Input'!D12</f>
        <v>0</v>
      </c>
      <c r="E20" s="84">
        <f>+'Revenue Input'!E12</f>
        <v>0</v>
      </c>
      <c r="F20" s="63" t="str">
        <f>+'Revenue Input'!F12</f>
        <v>FEFP Restricted Capital Outlay</v>
      </c>
      <c r="G20" s="140">
        <f>+'Revenue Input'!O12</f>
        <v>18664.125</v>
      </c>
      <c r="H20" s="140">
        <f>+'Revenue Input'!P12</f>
        <v>18664.125</v>
      </c>
      <c r="I20" s="140">
        <f>+'Revenue Input'!Q12</f>
        <v>0</v>
      </c>
      <c r="J20" s="129" t="str">
        <f t="shared" ref="J20:J59" si="3">IF(G20&gt;0.49,"*","")</f>
        <v>*</v>
      </c>
      <c r="L20" s="129"/>
      <c r="M20" s="129"/>
      <c r="N20" s="130"/>
      <c r="O20" s="136"/>
      <c r="P20" s="136">
        <f t="shared" ref="P20:P21" si="4">IF(B20=490,G20,0)</f>
        <v>0</v>
      </c>
      <c r="Q20" s="136">
        <f t="shared" ref="Q20:Q21" si="5">IF(B20=410,H20,0)</f>
        <v>0</v>
      </c>
      <c r="R20" s="136">
        <f t="shared" ref="R20:R78" si="6">IF(B20=432,H20,0)</f>
        <v>0</v>
      </c>
      <c r="S20" s="136">
        <f t="shared" ref="S20:S78" si="7">IF(B20=432,I20,0)</f>
        <v>0</v>
      </c>
      <c r="T20" s="136">
        <f t="shared" ref="T20:T78" si="8">IF($B20=435,H20,0)</f>
        <v>0</v>
      </c>
      <c r="U20" s="136">
        <f t="shared" ref="U20:U78" si="9">IF($B20=435,I20,0)</f>
        <v>0</v>
      </c>
      <c r="V20" s="136">
        <f t="shared" ref="V20:V78" si="10">IF(B20=360,I20,0)</f>
        <v>0</v>
      </c>
      <c r="W20" s="136">
        <f t="shared" ref="W20:W21" si="11">IF(B20=410,I20,0)</f>
        <v>0</v>
      </c>
      <c r="X20" s="130">
        <f>+W20+Q20-O20</f>
        <v>0</v>
      </c>
      <c r="Z20" s="64">
        <f t="shared" ref="Z20:Z64" si="12">AA20+AB20</f>
        <v>54450.046875000015</v>
      </c>
      <c r="AA20" s="64">
        <f>+AA14</f>
        <v>28276.149375000008</v>
      </c>
      <c r="AB20" s="64">
        <f>+AB14</f>
        <v>26173.897500000006</v>
      </c>
      <c r="AD20" s="64">
        <f t="shared" ref="AD20:AD64" si="13">AE20+AF20</f>
        <v>54994.54734374999</v>
      </c>
      <c r="AE20" s="64">
        <f>+AE14</f>
        <v>28558.910868749997</v>
      </c>
      <c r="AF20" s="64">
        <f>+AF14</f>
        <v>26435.636474999992</v>
      </c>
      <c r="AH20" s="64">
        <f t="shared" ref="AH20:AH64" si="14">AI20+AJ20</f>
        <v>74059.323756249985</v>
      </c>
      <c r="AI20" s="64">
        <f>+AI14</f>
        <v>38459.333303249994</v>
      </c>
      <c r="AJ20" s="64">
        <f>+AJ14</f>
        <v>35599.990452999991</v>
      </c>
      <c r="AL20" s="64">
        <f t="shared" ref="AL20:AL64" si="15">AM20+AN20</f>
        <v>74799.916993812483</v>
      </c>
      <c r="AM20" s="64">
        <f>+AM14</f>
        <v>38843.926636282486</v>
      </c>
      <c r="AN20" s="64">
        <f>+AN14</f>
        <v>35955.990357529998</v>
      </c>
      <c r="AO20" s="165" t="s">
        <v>31</v>
      </c>
    </row>
    <row r="21" spans="2:41" hidden="1" x14ac:dyDescent="0.25">
      <c r="B21" s="63">
        <f>+'Revenue Input'!B13</f>
        <v>100</v>
      </c>
      <c r="C21" s="63">
        <f>+'Revenue Input'!C13</f>
        <v>3190</v>
      </c>
      <c r="D21" s="83">
        <f>+'Revenue Input'!D13</f>
        <v>0</v>
      </c>
      <c r="E21" s="84">
        <f>+'Revenue Input'!E13</f>
        <v>0</v>
      </c>
      <c r="F21" s="63" t="str">
        <f>+'Revenue Input'!F13</f>
        <v>COVID-19 Tax Credit</v>
      </c>
      <c r="G21" s="140">
        <f>+'Revenue Input'!O13</f>
        <v>0</v>
      </c>
      <c r="H21" s="140">
        <f>+'Revenue Input'!P13</f>
        <v>0</v>
      </c>
      <c r="I21" s="140">
        <f>+'Revenue Input'!Q13</f>
        <v>0</v>
      </c>
      <c r="J21" s="129" t="str">
        <f t="shared" ref="J21" si="16">IF(G21&gt;0.49,"*","")</f>
        <v/>
      </c>
      <c r="L21" s="129"/>
      <c r="M21" s="129"/>
      <c r="N21" s="130"/>
      <c r="O21" s="136"/>
      <c r="P21" s="136">
        <f t="shared" si="4"/>
        <v>0</v>
      </c>
      <c r="Q21" s="136">
        <f t="shared" si="5"/>
        <v>0</v>
      </c>
      <c r="R21" s="136">
        <f t="shared" ref="R21" si="17">IF(B21=432,H21,0)</f>
        <v>0</v>
      </c>
      <c r="S21" s="136">
        <f t="shared" ref="S21" si="18">IF(B21=432,I21,0)</f>
        <v>0</v>
      </c>
      <c r="T21" s="136">
        <f t="shared" si="8"/>
        <v>0</v>
      </c>
      <c r="U21" s="136">
        <f t="shared" si="9"/>
        <v>0</v>
      </c>
      <c r="V21" s="136">
        <f t="shared" ref="V21" si="19">IF(B21=360,I21,0)</f>
        <v>0</v>
      </c>
      <c r="W21" s="136">
        <f t="shared" si="11"/>
        <v>0</v>
      </c>
      <c r="X21" s="130">
        <f>+W21+Q21-O21</f>
        <v>0</v>
      </c>
      <c r="Z21" s="64">
        <f t="shared" si="12"/>
        <v>0</v>
      </c>
      <c r="AA21" s="64">
        <v>0</v>
      </c>
      <c r="AB21" s="64">
        <v>0</v>
      </c>
      <c r="AD21" s="64">
        <f t="shared" si="13"/>
        <v>0</v>
      </c>
      <c r="AE21" s="64">
        <v>0</v>
      </c>
      <c r="AF21" s="64">
        <v>0</v>
      </c>
      <c r="AH21" s="64">
        <f t="shared" si="14"/>
        <v>0</v>
      </c>
      <c r="AI21" s="64">
        <v>0</v>
      </c>
      <c r="AJ21" s="64">
        <v>0</v>
      </c>
      <c r="AL21" s="64">
        <f t="shared" si="15"/>
        <v>0</v>
      </c>
      <c r="AM21" s="64">
        <v>0</v>
      </c>
      <c r="AN21" s="64">
        <v>0</v>
      </c>
      <c r="AO21" s="165" t="s">
        <v>32</v>
      </c>
    </row>
    <row r="22" spans="2:41" hidden="1" x14ac:dyDescent="0.25">
      <c r="B22" s="63">
        <f>+'Revenue Input'!B14</f>
        <v>100</v>
      </c>
      <c r="C22" s="63">
        <f>+'Revenue Input'!C14</f>
        <v>3230</v>
      </c>
      <c r="D22" s="83">
        <f>+'Revenue Input'!D14</f>
        <v>0</v>
      </c>
      <c r="E22" s="84">
        <f>+'Revenue Input'!E14</f>
        <v>0</v>
      </c>
      <c r="F22" s="63" t="str">
        <f>+'Revenue Input'!F14</f>
        <v>IDEA Revenue</v>
      </c>
      <c r="G22" s="140">
        <f>+'Revenue Input'!O14</f>
        <v>0</v>
      </c>
      <c r="H22" s="140">
        <f>+'Revenue Input'!P14</f>
        <v>0</v>
      </c>
      <c r="I22" s="140">
        <f>+'Revenue Input'!Q14</f>
        <v>0</v>
      </c>
      <c r="J22" s="129" t="str">
        <f t="shared" si="3"/>
        <v/>
      </c>
      <c r="L22" s="129"/>
      <c r="M22" s="129"/>
      <c r="N22" s="130"/>
      <c r="O22" s="136"/>
      <c r="P22" s="136">
        <f t="shared" ref="P22" si="20">IF(B22=490,G22,0)</f>
        <v>0</v>
      </c>
      <c r="Q22" s="136">
        <f t="shared" ref="Q22" si="21">IF(B22=410,H22,0)</f>
        <v>0</v>
      </c>
      <c r="R22" s="136">
        <f t="shared" si="6"/>
        <v>0</v>
      </c>
      <c r="S22" s="136">
        <f t="shared" si="7"/>
        <v>0</v>
      </c>
      <c r="T22" s="136">
        <f t="shared" si="8"/>
        <v>0</v>
      </c>
      <c r="U22" s="136">
        <f t="shared" si="9"/>
        <v>0</v>
      </c>
      <c r="V22" s="136">
        <f t="shared" si="10"/>
        <v>0</v>
      </c>
      <c r="W22" s="136">
        <f t="shared" ref="W22" si="22">IF(B22=410,I22,0)</f>
        <v>0</v>
      </c>
      <c r="X22" s="130">
        <f>+W22+Q22-O22</f>
        <v>0</v>
      </c>
      <c r="Z22" s="64">
        <f t="shared" si="12"/>
        <v>0</v>
      </c>
      <c r="AA22" s="64">
        <f t="shared" ref="AA22:AA24" si="23">+H22/H$11*AA$11</f>
        <v>0</v>
      </c>
      <c r="AB22" s="64">
        <f t="shared" ref="AB22:AB24" si="24">+I22/I$11*AB$11</f>
        <v>0</v>
      </c>
      <c r="AD22" s="64">
        <f t="shared" si="13"/>
        <v>0</v>
      </c>
      <c r="AE22" s="64">
        <f t="shared" ref="AE22:AE24" si="25">+AA22/AA$11*AE$11</f>
        <v>0</v>
      </c>
      <c r="AF22" s="64">
        <f t="shared" ref="AF22:AF24" si="26">+AB22/AB$11*AF$11</f>
        <v>0</v>
      </c>
      <c r="AH22" s="64">
        <f t="shared" si="14"/>
        <v>0</v>
      </c>
      <c r="AI22" s="64">
        <f t="shared" ref="AI22" si="27">+AE22/AE$11*AI$11</f>
        <v>0</v>
      </c>
      <c r="AJ22" s="64">
        <f t="shared" ref="AJ22" si="28">+AF22/AF$11*AJ$11</f>
        <v>0</v>
      </c>
      <c r="AL22" s="64">
        <f t="shared" si="15"/>
        <v>0</v>
      </c>
      <c r="AM22" s="64">
        <f t="shared" ref="AM22" si="29">+AI22/AI$11*AM$11</f>
        <v>0</v>
      </c>
      <c r="AN22" s="64">
        <f t="shared" ref="AN22" si="30">+AJ22/AJ$11*AN$11</f>
        <v>0</v>
      </c>
      <c r="AO22" s="165" t="s">
        <v>33</v>
      </c>
    </row>
    <row r="23" spans="2:41" x14ac:dyDescent="0.25">
      <c r="B23" s="63">
        <f>+'Revenue Input'!B15</f>
        <v>100</v>
      </c>
      <c r="C23" s="63">
        <f>+'Revenue Input'!C15</f>
        <v>3334</v>
      </c>
      <c r="D23" s="83">
        <f>+'Revenue Input'!D15</f>
        <v>0</v>
      </c>
      <c r="E23" s="84">
        <f>+'Revenue Input'!E15</f>
        <v>0</v>
      </c>
      <c r="F23" s="63" t="str">
        <f>+'Revenue Input'!F15</f>
        <v>Florida Teacher's Lead Program</v>
      </c>
      <c r="G23" s="140">
        <f>+'Revenue Input'!O15</f>
        <v>7621.3490967386824</v>
      </c>
      <c r="H23" s="140">
        <f>+'Revenue Input'!P15</f>
        <v>5225.3988649748371</v>
      </c>
      <c r="I23" s="140">
        <f>+'Revenue Input'!Q15</f>
        <v>2395.9502317638448</v>
      </c>
      <c r="J23" s="129" t="str">
        <f t="shared" si="3"/>
        <v>*</v>
      </c>
      <c r="L23" s="129"/>
      <c r="M23" s="129"/>
      <c r="N23" s="130"/>
      <c r="O23" s="136"/>
      <c r="P23" s="136">
        <f t="shared" ref="P23:P55" si="31">IF(B23=490,G23,0)</f>
        <v>0</v>
      </c>
      <c r="Q23" s="136">
        <f t="shared" ref="Q23:Q55" si="32">IF(B23=410,H23,0)</f>
        <v>0</v>
      </c>
      <c r="R23" s="136">
        <f t="shared" si="6"/>
        <v>0</v>
      </c>
      <c r="S23" s="136">
        <f t="shared" si="7"/>
        <v>0</v>
      </c>
      <c r="T23" s="136">
        <f t="shared" si="8"/>
        <v>0</v>
      </c>
      <c r="U23" s="136">
        <f t="shared" si="9"/>
        <v>0</v>
      </c>
      <c r="V23" s="136">
        <f t="shared" si="10"/>
        <v>0</v>
      </c>
      <c r="W23" s="136">
        <f t="shared" ref="W23:W55" si="33">IF(B23=410,I23,0)</f>
        <v>0</v>
      </c>
      <c r="X23" s="130">
        <f>+W23+Q23-O23</f>
        <v>0</v>
      </c>
      <c r="Z23" s="64">
        <f t="shared" si="12"/>
        <v>0</v>
      </c>
      <c r="AA23" s="64">
        <v>0</v>
      </c>
      <c r="AB23" s="64">
        <v>0</v>
      </c>
      <c r="AD23" s="64">
        <f t="shared" si="13"/>
        <v>0</v>
      </c>
      <c r="AE23" s="64">
        <v>0</v>
      </c>
      <c r="AF23" s="64">
        <v>0</v>
      </c>
      <c r="AH23" s="64">
        <f t="shared" si="14"/>
        <v>0</v>
      </c>
      <c r="AI23" s="64">
        <v>0</v>
      </c>
      <c r="AJ23" s="64">
        <v>0</v>
      </c>
      <c r="AL23" s="64">
        <f t="shared" si="15"/>
        <v>0</v>
      </c>
      <c r="AM23" s="64">
        <v>0</v>
      </c>
      <c r="AN23" s="64">
        <v>0</v>
      </c>
      <c r="AO23" s="165" t="s">
        <v>32</v>
      </c>
    </row>
    <row r="24" spans="2:41" ht="13.2" hidden="1" customHeight="1" x14ac:dyDescent="0.25">
      <c r="B24" s="63">
        <f>+'Revenue Input'!B16</f>
        <v>100</v>
      </c>
      <c r="C24" s="63">
        <f>+'Revenue Input'!C16</f>
        <v>3371</v>
      </c>
      <c r="D24" s="83">
        <f>+'Revenue Input'!D16</f>
        <v>0</v>
      </c>
      <c r="E24" s="84">
        <f>+'Revenue Input'!E16</f>
        <v>0</v>
      </c>
      <c r="F24" s="63" t="str">
        <f>+'Revenue Input'!F16</f>
        <v>VPK</v>
      </c>
      <c r="G24" s="140">
        <f>+'Revenue Input'!O16</f>
        <v>0</v>
      </c>
      <c r="H24" s="140">
        <f>+'Revenue Input'!P16</f>
        <v>0</v>
      </c>
      <c r="I24" s="140">
        <f>+'Revenue Input'!Q16</f>
        <v>0</v>
      </c>
      <c r="J24" s="129" t="str">
        <f t="shared" si="3"/>
        <v/>
      </c>
      <c r="L24" s="129"/>
      <c r="M24" s="129"/>
      <c r="N24" s="130"/>
      <c r="O24" s="136"/>
      <c r="P24" s="136">
        <f t="shared" si="31"/>
        <v>0</v>
      </c>
      <c r="Q24" s="136">
        <f t="shared" si="32"/>
        <v>0</v>
      </c>
      <c r="R24" s="136">
        <f t="shared" si="6"/>
        <v>0</v>
      </c>
      <c r="S24" s="136">
        <f t="shared" si="7"/>
        <v>0</v>
      </c>
      <c r="T24" s="136">
        <f t="shared" si="8"/>
        <v>0</v>
      </c>
      <c r="U24" s="136">
        <f t="shared" si="9"/>
        <v>0</v>
      </c>
      <c r="V24" s="136">
        <f t="shared" si="10"/>
        <v>0</v>
      </c>
      <c r="W24" s="136">
        <f t="shared" si="33"/>
        <v>0</v>
      </c>
      <c r="X24" s="130">
        <f t="shared" ref="X24:X107" si="34">+W24+Q24-O24</f>
        <v>0</v>
      </c>
      <c r="Z24" s="64">
        <f t="shared" si="12"/>
        <v>0</v>
      </c>
      <c r="AA24" s="64">
        <f t="shared" si="23"/>
        <v>0</v>
      </c>
      <c r="AB24" s="64">
        <f t="shared" si="24"/>
        <v>0</v>
      </c>
      <c r="AD24" s="64">
        <f t="shared" si="13"/>
        <v>0</v>
      </c>
      <c r="AE24" s="64">
        <f t="shared" si="25"/>
        <v>0</v>
      </c>
      <c r="AF24" s="64">
        <f t="shared" si="26"/>
        <v>0</v>
      </c>
      <c r="AH24" s="64">
        <f t="shared" si="14"/>
        <v>0</v>
      </c>
      <c r="AI24" s="64">
        <f t="shared" ref="AI24:AI36" si="35">+AE24/AE$11*AI$11</f>
        <v>0</v>
      </c>
      <c r="AJ24" s="64">
        <f t="shared" ref="AJ24:AJ36" si="36">+AF24/AF$11*AJ$11</f>
        <v>0</v>
      </c>
      <c r="AL24" s="64">
        <f t="shared" si="15"/>
        <v>0</v>
      </c>
      <c r="AM24" s="64">
        <f t="shared" ref="AM24:AM36" si="37">+AI24/AI$11*AM$11</f>
        <v>0</v>
      </c>
      <c r="AN24" s="64">
        <f t="shared" ref="AN24:AN36" si="38">+AJ24/AJ$11*AN$11</f>
        <v>0</v>
      </c>
      <c r="AO24" s="165" t="s">
        <v>33</v>
      </c>
    </row>
    <row r="25" spans="2:41" hidden="1" x14ac:dyDescent="0.25">
      <c r="B25" s="63">
        <f>+'Revenue Input'!B17</f>
        <v>100</v>
      </c>
      <c r="C25" s="63">
        <f>+'Revenue Input'!C17</f>
        <v>3390</v>
      </c>
      <c r="D25" s="83">
        <f>+'Revenue Input'!D17</f>
        <v>0</v>
      </c>
      <c r="E25" s="84">
        <f>+'Revenue Input'!E17</f>
        <v>0</v>
      </c>
      <c r="F25" s="63" t="str">
        <f>+'Revenue Input'!F17</f>
        <v>Miscellaneous State Funding</v>
      </c>
      <c r="G25" s="140">
        <f>+'Revenue Input'!O17</f>
        <v>0</v>
      </c>
      <c r="H25" s="140">
        <f>+'Revenue Input'!P17</f>
        <v>0</v>
      </c>
      <c r="I25" s="140">
        <f>+'Revenue Input'!Q17</f>
        <v>0</v>
      </c>
      <c r="J25" s="129" t="str">
        <f t="shared" si="3"/>
        <v/>
      </c>
      <c r="L25" s="129"/>
      <c r="M25" s="129"/>
      <c r="N25" s="130"/>
      <c r="O25" s="136"/>
      <c r="P25" s="136">
        <f t="shared" si="31"/>
        <v>0</v>
      </c>
      <c r="Q25" s="136">
        <f t="shared" si="32"/>
        <v>0</v>
      </c>
      <c r="R25" s="136">
        <f t="shared" si="6"/>
        <v>0</v>
      </c>
      <c r="S25" s="136">
        <f t="shared" si="7"/>
        <v>0</v>
      </c>
      <c r="T25" s="136">
        <f t="shared" si="8"/>
        <v>0</v>
      </c>
      <c r="U25" s="136">
        <f t="shared" si="9"/>
        <v>0</v>
      </c>
      <c r="V25" s="136">
        <f t="shared" si="10"/>
        <v>0</v>
      </c>
      <c r="W25" s="136">
        <f t="shared" si="33"/>
        <v>0</v>
      </c>
      <c r="X25" s="130">
        <f t="shared" si="34"/>
        <v>0</v>
      </c>
      <c r="Z25" s="64">
        <f t="shared" si="12"/>
        <v>0</v>
      </c>
      <c r="AA25" s="64">
        <f t="shared" ref="AA25:AB27" si="39">+H25</f>
        <v>0</v>
      </c>
      <c r="AB25" s="64">
        <f t="shared" si="39"/>
        <v>0</v>
      </c>
      <c r="AC25" s="129"/>
      <c r="AD25" s="64">
        <f t="shared" si="13"/>
        <v>0</v>
      </c>
      <c r="AE25" s="64">
        <f t="shared" ref="AE25:AF27" si="40">+AA25</f>
        <v>0</v>
      </c>
      <c r="AF25" s="64">
        <f t="shared" si="40"/>
        <v>0</v>
      </c>
      <c r="AG25" s="129"/>
      <c r="AH25" s="64">
        <f t="shared" si="14"/>
        <v>0</v>
      </c>
      <c r="AI25" s="64">
        <f t="shared" ref="AI25:AJ27" si="41">+AE25</f>
        <v>0</v>
      </c>
      <c r="AJ25" s="64">
        <f t="shared" si="41"/>
        <v>0</v>
      </c>
      <c r="AK25" s="129"/>
      <c r="AL25" s="64">
        <f t="shared" si="15"/>
        <v>0</v>
      </c>
      <c r="AM25" s="64">
        <f t="shared" ref="AM25:AN27" si="42">+AI25</f>
        <v>0</v>
      </c>
      <c r="AN25" s="64">
        <f t="shared" si="42"/>
        <v>0</v>
      </c>
      <c r="AO25" s="165" t="s">
        <v>34</v>
      </c>
    </row>
    <row r="26" spans="2:41" hidden="1" x14ac:dyDescent="0.25">
      <c r="B26" s="63">
        <f>+'Revenue Input'!B18</f>
        <v>100</v>
      </c>
      <c r="C26" s="63">
        <f>+'Revenue Input'!C18</f>
        <v>3440</v>
      </c>
      <c r="D26" s="83">
        <f>+'Revenue Input'!D18</f>
        <v>0</v>
      </c>
      <c r="E26" s="84">
        <f>+'Revenue Input'!E18</f>
        <v>0</v>
      </c>
      <c r="F26" s="63" t="str">
        <f>+'Revenue Input'!F18</f>
        <v>Interest</v>
      </c>
      <c r="G26" s="140">
        <f>+'Revenue Input'!O18</f>
        <v>0</v>
      </c>
      <c r="H26" s="140">
        <f>+'Revenue Input'!P18</f>
        <v>0</v>
      </c>
      <c r="I26" s="140">
        <f>+'Revenue Input'!Q18</f>
        <v>0</v>
      </c>
      <c r="J26" s="129" t="str">
        <f t="shared" si="3"/>
        <v/>
      </c>
      <c r="L26" s="129"/>
      <c r="M26" s="129"/>
      <c r="N26" s="130"/>
      <c r="O26" s="136"/>
      <c r="P26" s="136">
        <f t="shared" si="31"/>
        <v>0</v>
      </c>
      <c r="Q26" s="136">
        <f t="shared" si="32"/>
        <v>0</v>
      </c>
      <c r="R26" s="136">
        <f t="shared" si="6"/>
        <v>0</v>
      </c>
      <c r="S26" s="136">
        <f t="shared" si="7"/>
        <v>0</v>
      </c>
      <c r="T26" s="136">
        <f t="shared" si="8"/>
        <v>0</v>
      </c>
      <c r="U26" s="136">
        <f t="shared" si="9"/>
        <v>0</v>
      </c>
      <c r="V26" s="136">
        <f t="shared" si="10"/>
        <v>0</v>
      </c>
      <c r="W26" s="136">
        <f t="shared" si="33"/>
        <v>0</v>
      </c>
      <c r="X26" s="130">
        <f t="shared" si="34"/>
        <v>0</v>
      </c>
      <c r="Z26" s="64">
        <f t="shared" si="12"/>
        <v>0</v>
      </c>
      <c r="AA26" s="64">
        <f t="shared" si="39"/>
        <v>0</v>
      </c>
      <c r="AB26" s="64">
        <f t="shared" si="39"/>
        <v>0</v>
      </c>
      <c r="AC26" s="129"/>
      <c r="AD26" s="64">
        <f t="shared" si="13"/>
        <v>0</v>
      </c>
      <c r="AE26" s="64">
        <f t="shared" si="40"/>
        <v>0</v>
      </c>
      <c r="AF26" s="64">
        <f t="shared" si="40"/>
        <v>0</v>
      </c>
      <c r="AG26" s="129"/>
      <c r="AH26" s="64">
        <f t="shared" si="14"/>
        <v>0</v>
      </c>
      <c r="AI26" s="64">
        <f t="shared" si="41"/>
        <v>0</v>
      </c>
      <c r="AJ26" s="64">
        <f t="shared" si="41"/>
        <v>0</v>
      </c>
      <c r="AK26" s="129"/>
      <c r="AL26" s="64">
        <f t="shared" si="15"/>
        <v>0</v>
      </c>
      <c r="AM26" s="64">
        <f t="shared" si="42"/>
        <v>0</v>
      </c>
      <c r="AN26" s="64">
        <f t="shared" si="42"/>
        <v>0</v>
      </c>
      <c r="AO26" s="165" t="s">
        <v>34</v>
      </c>
    </row>
    <row r="27" spans="2:41" x14ac:dyDescent="0.25">
      <c r="B27" s="63">
        <f>+'Revenue Input'!B19</f>
        <v>100</v>
      </c>
      <c r="C27" s="63">
        <f>+'Revenue Input'!C19</f>
        <v>3442</v>
      </c>
      <c r="D27" s="83">
        <f>+'Revenue Input'!D19</f>
        <v>0</v>
      </c>
      <c r="E27" s="84">
        <f>+'Revenue Input'!E19</f>
        <v>0</v>
      </c>
      <c r="F27" s="63" t="str">
        <f>+'Revenue Input'!F19</f>
        <v>Settlement</v>
      </c>
      <c r="G27" s="140">
        <f>+'Revenue Input'!O19</f>
        <v>14244</v>
      </c>
      <c r="H27" s="140">
        <f>+'Revenue Input'!P19</f>
        <v>0</v>
      </c>
      <c r="I27" s="140">
        <f>+'Revenue Input'!Q19</f>
        <v>14244</v>
      </c>
      <c r="J27" s="129" t="str">
        <f t="shared" ref="J27" si="43">IF(G27&gt;0.49,"*","")</f>
        <v>*</v>
      </c>
      <c r="L27" s="129"/>
      <c r="M27" s="129"/>
      <c r="N27" s="130"/>
      <c r="O27" s="136"/>
      <c r="P27" s="136">
        <f t="shared" ref="P27" si="44">IF(B27=490,G27,0)</f>
        <v>0</v>
      </c>
      <c r="Q27" s="136">
        <f t="shared" ref="Q27" si="45">IF(B27=410,H27,0)</f>
        <v>0</v>
      </c>
      <c r="R27" s="136">
        <f t="shared" ref="R27" si="46">IF(B27=432,H27,0)</f>
        <v>0</v>
      </c>
      <c r="S27" s="136">
        <f t="shared" ref="S27" si="47">IF(B27=432,I27,0)</f>
        <v>0</v>
      </c>
      <c r="T27" s="136">
        <f t="shared" ref="T27" si="48">IF($B27=435,H27,0)</f>
        <v>0</v>
      </c>
      <c r="U27" s="136">
        <f t="shared" ref="U27" si="49">IF($B27=435,I27,0)</f>
        <v>0</v>
      </c>
      <c r="V27" s="136">
        <f t="shared" ref="V27" si="50">IF(B27=360,I27,0)</f>
        <v>0</v>
      </c>
      <c r="W27" s="136">
        <f t="shared" ref="W27" si="51">IF(B27=410,I27,0)</f>
        <v>0</v>
      </c>
      <c r="X27" s="130">
        <f t="shared" ref="X27" si="52">+W27+Q27-O27</f>
        <v>0</v>
      </c>
      <c r="Z27" s="64">
        <f t="shared" ref="Z27" si="53">AA27+AB27</f>
        <v>14244</v>
      </c>
      <c r="AA27" s="64">
        <f t="shared" si="39"/>
        <v>0</v>
      </c>
      <c r="AB27" s="64">
        <f t="shared" si="39"/>
        <v>14244</v>
      </c>
      <c r="AC27" s="129"/>
      <c r="AD27" s="64">
        <f t="shared" ref="AD27" si="54">AE27+AF27</f>
        <v>14244</v>
      </c>
      <c r="AE27" s="64">
        <f t="shared" si="40"/>
        <v>0</v>
      </c>
      <c r="AF27" s="64">
        <f t="shared" si="40"/>
        <v>14244</v>
      </c>
      <c r="AG27" s="129"/>
      <c r="AH27" s="64">
        <f t="shared" ref="AH27" si="55">AI27+AJ27</f>
        <v>14244</v>
      </c>
      <c r="AI27" s="64">
        <f t="shared" si="41"/>
        <v>0</v>
      </c>
      <c r="AJ27" s="64">
        <f t="shared" si="41"/>
        <v>14244</v>
      </c>
      <c r="AK27" s="129"/>
      <c r="AL27" s="64">
        <f t="shared" ref="AL27" si="56">AM27+AN27</f>
        <v>14244</v>
      </c>
      <c r="AM27" s="64">
        <f t="shared" si="42"/>
        <v>0</v>
      </c>
      <c r="AN27" s="64">
        <f t="shared" si="42"/>
        <v>14244</v>
      </c>
      <c r="AO27" s="165" t="s">
        <v>34</v>
      </c>
    </row>
    <row r="28" spans="2:41" hidden="1" x14ac:dyDescent="0.25">
      <c r="B28" s="63">
        <f>+'Revenue Input'!B20</f>
        <v>100</v>
      </c>
      <c r="C28" s="63">
        <f>+'Revenue Input'!C20</f>
        <v>3471</v>
      </c>
      <c r="D28" s="83">
        <f>+'Revenue Input'!D20</f>
        <v>0</v>
      </c>
      <c r="E28" s="84">
        <f>+'Revenue Input'!E20</f>
        <v>0</v>
      </c>
      <c r="F28" s="63" t="str">
        <f>+'Revenue Input'!F20</f>
        <v>Yearbook</v>
      </c>
      <c r="G28" s="140">
        <f>+'Revenue Input'!O20</f>
        <v>0</v>
      </c>
      <c r="H28" s="140">
        <f>+'Revenue Input'!P20</f>
        <v>0</v>
      </c>
      <c r="I28" s="140">
        <f>+'Revenue Input'!Q20</f>
        <v>0</v>
      </c>
      <c r="J28" s="129" t="str">
        <f t="shared" si="3"/>
        <v/>
      </c>
      <c r="L28" s="129"/>
      <c r="M28" s="129"/>
      <c r="N28" s="130"/>
      <c r="O28" s="136"/>
      <c r="P28" s="136">
        <f t="shared" si="31"/>
        <v>0</v>
      </c>
      <c r="Q28" s="136">
        <f t="shared" si="32"/>
        <v>0</v>
      </c>
      <c r="R28" s="136">
        <f t="shared" si="6"/>
        <v>0</v>
      </c>
      <c r="S28" s="136">
        <f t="shared" si="7"/>
        <v>0</v>
      </c>
      <c r="T28" s="136">
        <f t="shared" si="8"/>
        <v>0</v>
      </c>
      <c r="U28" s="136">
        <f t="shared" si="9"/>
        <v>0</v>
      </c>
      <c r="V28" s="136">
        <f t="shared" si="10"/>
        <v>0</v>
      </c>
      <c r="W28" s="136">
        <f t="shared" si="33"/>
        <v>0</v>
      </c>
      <c r="X28" s="130">
        <f t="shared" si="34"/>
        <v>0</v>
      </c>
      <c r="Z28" s="64">
        <f t="shared" si="12"/>
        <v>0</v>
      </c>
      <c r="AA28" s="64">
        <f t="shared" ref="AA28:AA36" si="57">+H28/H$11*AA$11</f>
        <v>0</v>
      </c>
      <c r="AB28" s="64">
        <f t="shared" ref="AB28:AB36" si="58">+I28/I$11*AB$11</f>
        <v>0</v>
      </c>
      <c r="AD28" s="64">
        <f t="shared" si="13"/>
        <v>0</v>
      </c>
      <c r="AE28" s="64">
        <f t="shared" ref="AE28:AE36" si="59">+AA28/AA$11*AE$11</f>
        <v>0</v>
      </c>
      <c r="AF28" s="64">
        <f t="shared" ref="AF28:AF36" si="60">+AB28/AB$11*AF$11</f>
        <v>0</v>
      </c>
      <c r="AH28" s="64">
        <f t="shared" si="14"/>
        <v>0</v>
      </c>
      <c r="AI28" s="64">
        <f t="shared" si="35"/>
        <v>0</v>
      </c>
      <c r="AJ28" s="64">
        <f t="shared" si="36"/>
        <v>0</v>
      </c>
      <c r="AL28" s="64">
        <f t="shared" si="15"/>
        <v>0</v>
      </c>
      <c r="AM28" s="64">
        <f t="shared" si="37"/>
        <v>0</v>
      </c>
      <c r="AN28" s="64">
        <f t="shared" si="38"/>
        <v>0</v>
      </c>
      <c r="AO28" s="165" t="s">
        <v>32</v>
      </c>
    </row>
    <row r="29" spans="2:41" hidden="1" x14ac:dyDescent="0.25">
      <c r="B29" s="63">
        <f>+'Revenue Input'!B21</f>
        <v>100</v>
      </c>
      <c r="C29" s="63">
        <f>+'Revenue Input'!C21</f>
        <v>3472</v>
      </c>
      <c r="D29" s="83">
        <f>+'Revenue Input'!D21</f>
        <v>0</v>
      </c>
      <c r="E29" s="84">
        <f>+'Revenue Input'!E21</f>
        <v>0</v>
      </c>
      <c r="F29" s="63" t="str">
        <f>+'Revenue Input'!F21</f>
        <v>Prekindergarten (Cubs)</v>
      </c>
      <c r="G29" s="140">
        <f>+'Revenue Input'!O21</f>
        <v>0</v>
      </c>
      <c r="H29" s="140">
        <f>+'Revenue Input'!P21</f>
        <v>0</v>
      </c>
      <c r="I29" s="140">
        <f>+'Revenue Input'!Q21</f>
        <v>0</v>
      </c>
      <c r="J29" s="129" t="str">
        <f t="shared" si="3"/>
        <v/>
      </c>
      <c r="L29" s="129"/>
      <c r="M29" s="129"/>
      <c r="N29" s="130"/>
      <c r="O29" s="136"/>
      <c r="P29" s="136">
        <f t="shared" si="31"/>
        <v>0</v>
      </c>
      <c r="Q29" s="136">
        <f t="shared" si="32"/>
        <v>0</v>
      </c>
      <c r="R29" s="136">
        <f t="shared" si="6"/>
        <v>0</v>
      </c>
      <c r="S29" s="136">
        <f t="shared" si="7"/>
        <v>0</v>
      </c>
      <c r="T29" s="136">
        <f t="shared" si="8"/>
        <v>0</v>
      </c>
      <c r="U29" s="136">
        <f t="shared" si="9"/>
        <v>0</v>
      </c>
      <c r="V29" s="136">
        <f t="shared" si="10"/>
        <v>0</v>
      </c>
      <c r="W29" s="136">
        <f t="shared" si="33"/>
        <v>0</v>
      </c>
      <c r="X29" s="130">
        <f t="shared" si="34"/>
        <v>0</v>
      </c>
      <c r="Z29" s="64">
        <f t="shared" si="12"/>
        <v>0</v>
      </c>
      <c r="AA29" s="64">
        <f t="shared" si="57"/>
        <v>0</v>
      </c>
      <c r="AB29" s="64">
        <f t="shared" si="58"/>
        <v>0</v>
      </c>
      <c r="AD29" s="64">
        <f t="shared" si="13"/>
        <v>0</v>
      </c>
      <c r="AE29" s="64">
        <f t="shared" si="59"/>
        <v>0</v>
      </c>
      <c r="AF29" s="64">
        <f t="shared" si="60"/>
        <v>0</v>
      </c>
      <c r="AH29" s="64">
        <f t="shared" si="14"/>
        <v>0</v>
      </c>
      <c r="AI29" s="64">
        <f t="shared" si="35"/>
        <v>0</v>
      </c>
      <c r="AJ29" s="64">
        <f t="shared" si="36"/>
        <v>0</v>
      </c>
      <c r="AL29" s="64">
        <f t="shared" si="15"/>
        <v>0</v>
      </c>
      <c r="AM29" s="64">
        <f t="shared" si="37"/>
        <v>0</v>
      </c>
      <c r="AN29" s="64">
        <f t="shared" si="38"/>
        <v>0</v>
      </c>
      <c r="AO29" s="165" t="s">
        <v>32</v>
      </c>
    </row>
    <row r="30" spans="2:41" ht="13.2" hidden="1" customHeight="1" x14ac:dyDescent="0.25">
      <c r="B30" s="63">
        <f>+'Revenue Input'!B22</f>
        <v>100</v>
      </c>
      <c r="C30" s="63">
        <f>+'Revenue Input'!C22</f>
        <v>3472</v>
      </c>
      <c r="D30" s="83">
        <f>+'Revenue Input'!D22</f>
        <v>0</v>
      </c>
      <c r="E30" s="84">
        <f>+'Revenue Input'!E22</f>
        <v>0</v>
      </c>
      <c r="F30" s="63" t="str">
        <f>+'Revenue Input'!F22</f>
        <v>Show Choir</v>
      </c>
      <c r="G30" s="140">
        <f>+'Revenue Input'!O22</f>
        <v>0</v>
      </c>
      <c r="H30" s="140">
        <f>+'Revenue Input'!P22</f>
        <v>0</v>
      </c>
      <c r="I30" s="140">
        <f>+'Revenue Input'!Q22</f>
        <v>0</v>
      </c>
      <c r="J30" s="129" t="str">
        <f t="shared" si="3"/>
        <v/>
      </c>
      <c r="L30" s="129"/>
      <c r="M30" s="129"/>
      <c r="N30" s="130"/>
      <c r="O30" s="136"/>
      <c r="P30" s="136">
        <f t="shared" si="31"/>
        <v>0</v>
      </c>
      <c r="Q30" s="136">
        <f t="shared" si="32"/>
        <v>0</v>
      </c>
      <c r="R30" s="136">
        <f t="shared" si="6"/>
        <v>0</v>
      </c>
      <c r="S30" s="136">
        <f t="shared" si="7"/>
        <v>0</v>
      </c>
      <c r="T30" s="136">
        <f t="shared" si="8"/>
        <v>0</v>
      </c>
      <c r="U30" s="136">
        <f t="shared" si="9"/>
        <v>0</v>
      </c>
      <c r="V30" s="136">
        <f t="shared" si="10"/>
        <v>0</v>
      </c>
      <c r="W30" s="136">
        <f t="shared" si="33"/>
        <v>0</v>
      </c>
      <c r="X30" s="130">
        <f t="shared" si="34"/>
        <v>0</v>
      </c>
      <c r="Z30" s="64">
        <f t="shared" si="12"/>
        <v>0</v>
      </c>
      <c r="AA30" s="64">
        <f t="shared" si="57"/>
        <v>0</v>
      </c>
      <c r="AB30" s="64">
        <f t="shared" si="58"/>
        <v>0</v>
      </c>
      <c r="AD30" s="64">
        <f t="shared" si="13"/>
        <v>0</v>
      </c>
      <c r="AE30" s="64">
        <f t="shared" si="59"/>
        <v>0</v>
      </c>
      <c r="AF30" s="64">
        <f t="shared" si="60"/>
        <v>0</v>
      </c>
      <c r="AH30" s="64">
        <f t="shared" si="14"/>
        <v>0</v>
      </c>
      <c r="AI30" s="64">
        <f t="shared" si="35"/>
        <v>0</v>
      </c>
      <c r="AJ30" s="64">
        <f t="shared" si="36"/>
        <v>0</v>
      </c>
      <c r="AL30" s="64">
        <f t="shared" si="15"/>
        <v>0</v>
      </c>
      <c r="AM30" s="64">
        <f t="shared" si="37"/>
        <v>0</v>
      </c>
      <c r="AN30" s="64">
        <f t="shared" si="38"/>
        <v>0</v>
      </c>
      <c r="AO30" s="165" t="s">
        <v>33</v>
      </c>
    </row>
    <row r="31" spans="2:41" hidden="1" x14ac:dyDescent="0.25">
      <c r="B31" s="63">
        <f>+'Revenue Input'!B23</f>
        <v>100</v>
      </c>
      <c r="C31" s="63">
        <f>+'Revenue Input'!C23</f>
        <v>3472</v>
      </c>
      <c r="D31" s="83">
        <f>+'Revenue Input'!D23</f>
        <v>0</v>
      </c>
      <c r="E31" s="84">
        <f>+'Revenue Input'!E23</f>
        <v>0</v>
      </c>
      <c r="F31" s="63" t="str">
        <f>+'Revenue Input'!F23</f>
        <v>English Class</v>
      </c>
      <c r="G31" s="140">
        <f>+'Revenue Input'!O23</f>
        <v>0</v>
      </c>
      <c r="H31" s="140">
        <f>+'Revenue Input'!P23</f>
        <v>0</v>
      </c>
      <c r="I31" s="140">
        <f>+'Revenue Input'!Q23</f>
        <v>0</v>
      </c>
      <c r="J31" s="129" t="str">
        <f t="shared" si="3"/>
        <v/>
      </c>
      <c r="L31" s="129"/>
      <c r="M31" s="129"/>
      <c r="N31" s="130"/>
      <c r="O31" s="136"/>
      <c r="P31" s="136">
        <f t="shared" si="31"/>
        <v>0</v>
      </c>
      <c r="Q31" s="136">
        <f t="shared" si="32"/>
        <v>0</v>
      </c>
      <c r="R31" s="136">
        <f t="shared" si="6"/>
        <v>0</v>
      </c>
      <c r="S31" s="136">
        <f t="shared" si="7"/>
        <v>0</v>
      </c>
      <c r="T31" s="136">
        <f t="shared" si="8"/>
        <v>0</v>
      </c>
      <c r="U31" s="136">
        <f t="shared" si="9"/>
        <v>0</v>
      </c>
      <c r="V31" s="136">
        <f t="shared" si="10"/>
        <v>0</v>
      </c>
      <c r="W31" s="136">
        <f t="shared" si="33"/>
        <v>0</v>
      </c>
      <c r="X31" s="130">
        <f t="shared" si="34"/>
        <v>0</v>
      </c>
      <c r="Z31" s="64">
        <f t="shared" ref="Z31" si="61">AA31+AB31</f>
        <v>0</v>
      </c>
      <c r="AA31" s="64">
        <f>+H31</f>
        <v>0</v>
      </c>
      <c r="AB31" s="64">
        <f>+I31</f>
        <v>0</v>
      </c>
      <c r="AC31" s="129"/>
      <c r="AD31" s="64">
        <f t="shared" ref="AD31" si="62">AE31+AF31</f>
        <v>0</v>
      </c>
      <c r="AE31" s="64">
        <f>+AA31</f>
        <v>0</v>
      </c>
      <c r="AF31" s="64">
        <f>+AB31</f>
        <v>0</v>
      </c>
      <c r="AG31" s="129"/>
      <c r="AH31" s="64">
        <f t="shared" ref="AH31" si="63">AI31+AJ31</f>
        <v>0</v>
      </c>
      <c r="AI31" s="64">
        <f>+AE31</f>
        <v>0</v>
      </c>
      <c r="AJ31" s="64">
        <f>+AF31</f>
        <v>0</v>
      </c>
      <c r="AK31" s="129"/>
      <c r="AL31" s="64">
        <f t="shared" ref="AL31" si="64">AM31+AN31</f>
        <v>0</v>
      </c>
      <c r="AM31" s="64">
        <f>+AI31</f>
        <v>0</v>
      </c>
      <c r="AN31" s="64">
        <f>+AJ31</f>
        <v>0</v>
      </c>
      <c r="AO31" s="165" t="s">
        <v>34</v>
      </c>
    </row>
    <row r="32" spans="2:41" hidden="1" x14ac:dyDescent="0.25">
      <c r="B32" s="63">
        <f>+'Revenue Input'!B24</f>
        <v>100</v>
      </c>
      <c r="C32" s="63">
        <f>+'Revenue Input'!C24</f>
        <v>3473</v>
      </c>
      <c r="D32" s="83">
        <f>+'Revenue Input'!D24</f>
        <v>0</v>
      </c>
      <c r="E32" s="84">
        <f>+'Revenue Input'!E24</f>
        <v>0</v>
      </c>
      <c r="F32" s="63" t="str">
        <f>+'Revenue Input'!F24</f>
        <v>Misc Local Revenue</v>
      </c>
      <c r="G32" s="140">
        <f>+'Revenue Input'!O24</f>
        <v>0</v>
      </c>
      <c r="H32" s="140">
        <f>+'Revenue Input'!P24</f>
        <v>0</v>
      </c>
      <c r="I32" s="140">
        <f>+'Revenue Input'!Q24</f>
        <v>0</v>
      </c>
      <c r="J32" s="129" t="str">
        <f t="shared" si="3"/>
        <v/>
      </c>
      <c r="L32" s="129"/>
      <c r="M32" s="129"/>
      <c r="N32" s="130"/>
      <c r="O32" s="136"/>
      <c r="P32" s="136">
        <f t="shared" si="31"/>
        <v>0</v>
      </c>
      <c r="Q32" s="136">
        <f t="shared" si="32"/>
        <v>0</v>
      </c>
      <c r="R32" s="136">
        <f t="shared" si="6"/>
        <v>0</v>
      </c>
      <c r="S32" s="136">
        <f t="shared" si="7"/>
        <v>0</v>
      </c>
      <c r="T32" s="136">
        <f t="shared" si="8"/>
        <v>0</v>
      </c>
      <c r="U32" s="136">
        <f t="shared" si="9"/>
        <v>0</v>
      </c>
      <c r="V32" s="136">
        <f t="shared" si="10"/>
        <v>0</v>
      </c>
      <c r="W32" s="136">
        <f t="shared" si="33"/>
        <v>0</v>
      </c>
      <c r="X32" s="130">
        <f t="shared" si="34"/>
        <v>0</v>
      </c>
      <c r="Z32" s="64">
        <f t="shared" si="12"/>
        <v>0</v>
      </c>
      <c r="AA32" s="64">
        <f t="shared" si="57"/>
        <v>0</v>
      </c>
      <c r="AB32" s="64">
        <f t="shared" si="58"/>
        <v>0</v>
      </c>
      <c r="AD32" s="64">
        <f t="shared" si="13"/>
        <v>0</v>
      </c>
      <c r="AE32" s="64">
        <f t="shared" si="59"/>
        <v>0</v>
      </c>
      <c r="AF32" s="64">
        <f t="shared" si="60"/>
        <v>0</v>
      </c>
      <c r="AH32" s="64">
        <f t="shared" si="14"/>
        <v>0</v>
      </c>
      <c r="AI32" s="64">
        <f t="shared" si="35"/>
        <v>0</v>
      </c>
      <c r="AJ32" s="64">
        <f t="shared" si="36"/>
        <v>0</v>
      </c>
      <c r="AL32" s="64">
        <f t="shared" si="15"/>
        <v>0</v>
      </c>
      <c r="AM32" s="64">
        <f t="shared" si="37"/>
        <v>0</v>
      </c>
      <c r="AN32" s="64">
        <f t="shared" si="38"/>
        <v>0</v>
      </c>
      <c r="AO32" s="165" t="s">
        <v>33</v>
      </c>
    </row>
    <row r="33" spans="1:41" x14ac:dyDescent="0.25">
      <c r="B33" s="63">
        <f>+'Revenue Input'!B25</f>
        <v>100</v>
      </c>
      <c r="C33" s="63">
        <f>+'Revenue Input'!C25</f>
        <v>3474</v>
      </c>
      <c r="D33" s="83">
        <f>+'Revenue Input'!D25</f>
        <v>0</v>
      </c>
      <c r="E33" s="84">
        <f>+'Revenue Input'!E25</f>
        <v>0</v>
      </c>
      <c r="F33" s="63" t="str">
        <f>+'Revenue Input'!F25</f>
        <v>Clubs</v>
      </c>
      <c r="G33" s="140">
        <f>+'Revenue Input'!O25</f>
        <v>4683.9985362283487</v>
      </c>
      <c r="H33" s="140">
        <f>+'Revenue Input'!P25</f>
        <v>0</v>
      </c>
      <c r="I33" s="140">
        <f>+'Revenue Input'!Q25</f>
        <v>4683.9985362283487</v>
      </c>
      <c r="J33" s="129" t="str">
        <f t="shared" si="3"/>
        <v>*</v>
      </c>
      <c r="L33" s="129"/>
      <c r="M33" s="129"/>
      <c r="N33" s="130"/>
      <c r="O33" s="136"/>
      <c r="P33" s="136">
        <f t="shared" si="31"/>
        <v>0</v>
      </c>
      <c r="Q33" s="136">
        <f t="shared" si="32"/>
        <v>0</v>
      </c>
      <c r="R33" s="136">
        <f t="shared" si="6"/>
        <v>0</v>
      </c>
      <c r="S33" s="136">
        <f t="shared" si="7"/>
        <v>0</v>
      </c>
      <c r="T33" s="136">
        <f t="shared" si="8"/>
        <v>0</v>
      </c>
      <c r="U33" s="136">
        <f t="shared" si="9"/>
        <v>0</v>
      </c>
      <c r="V33" s="136">
        <f t="shared" si="10"/>
        <v>0</v>
      </c>
      <c r="W33" s="136">
        <f t="shared" si="33"/>
        <v>0</v>
      </c>
      <c r="X33" s="130">
        <f t="shared" si="34"/>
        <v>0</v>
      </c>
      <c r="Z33" s="64">
        <f t="shared" si="12"/>
        <v>6618.6935838009276</v>
      </c>
      <c r="AA33" s="64">
        <f t="shared" si="57"/>
        <v>0</v>
      </c>
      <c r="AB33" s="64">
        <f t="shared" si="58"/>
        <v>6618.6935838009276</v>
      </c>
      <c r="AD33" s="64">
        <f t="shared" si="13"/>
        <v>6618.6935838009276</v>
      </c>
      <c r="AE33" s="64">
        <f t="shared" si="59"/>
        <v>0</v>
      </c>
      <c r="AF33" s="64">
        <f t="shared" si="60"/>
        <v>6618.6935838009276</v>
      </c>
      <c r="AH33" s="64">
        <f t="shared" si="14"/>
        <v>7127.8238594779223</v>
      </c>
      <c r="AI33" s="64">
        <f t="shared" si="35"/>
        <v>0</v>
      </c>
      <c r="AJ33" s="64">
        <f t="shared" si="36"/>
        <v>7127.8238594779223</v>
      </c>
      <c r="AL33" s="64">
        <f t="shared" si="15"/>
        <v>7127.8238594779223</v>
      </c>
      <c r="AM33" s="64">
        <f t="shared" si="37"/>
        <v>0</v>
      </c>
      <c r="AN33" s="64">
        <f t="shared" si="38"/>
        <v>7127.8238594779223</v>
      </c>
      <c r="AO33" s="165" t="s">
        <v>33</v>
      </c>
    </row>
    <row r="34" spans="1:41" x14ac:dyDescent="0.25">
      <c r="B34" s="63">
        <f>+'Revenue Input'!B26</f>
        <v>100</v>
      </c>
      <c r="C34" s="63">
        <f>+'Revenue Input'!C26</f>
        <v>3475</v>
      </c>
      <c r="D34" s="83">
        <f>+'Revenue Input'!D26</f>
        <v>0</v>
      </c>
      <c r="E34" s="84">
        <f>+'Revenue Input'!E26</f>
        <v>0</v>
      </c>
      <c r="F34" s="63" t="str">
        <f>+'Revenue Input'!F26</f>
        <v>Field Trip</v>
      </c>
      <c r="G34" s="140">
        <f>+'Revenue Input'!O26</f>
        <v>7942.7595635288626</v>
      </c>
      <c r="H34" s="140">
        <f>+'Revenue Input'!P26</f>
        <v>2032.3375093693114</v>
      </c>
      <c r="I34" s="140">
        <f>+'Revenue Input'!Q26</f>
        <v>5910.4220541595514</v>
      </c>
      <c r="J34" s="129" t="str">
        <f t="shared" si="3"/>
        <v>*</v>
      </c>
      <c r="L34" s="129"/>
      <c r="M34" s="129"/>
      <c r="N34" s="130"/>
      <c r="O34" s="136"/>
      <c r="P34" s="136">
        <f t="shared" si="31"/>
        <v>0</v>
      </c>
      <c r="Q34" s="136">
        <f t="shared" si="32"/>
        <v>0</v>
      </c>
      <c r="R34" s="136">
        <f t="shared" si="6"/>
        <v>0</v>
      </c>
      <c r="S34" s="136">
        <f t="shared" si="7"/>
        <v>0</v>
      </c>
      <c r="T34" s="136">
        <f t="shared" si="8"/>
        <v>0</v>
      </c>
      <c r="U34" s="136">
        <f t="shared" si="9"/>
        <v>0</v>
      </c>
      <c r="V34" s="136">
        <f t="shared" si="10"/>
        <v>0</v>
      </c>
      <c r="W34" s="136">
        <f t="shared" si="33"/>
        <v>0</v>
      </c>
      <c r="X34" s="130">
        <f t="shared" si="34"/>
        <v>0</v>
      </c>
      <c r="Z34" s="64">
        <f t="shared" si="12"/>
        <v>0</v>
      </c>
      <c r="AA34" s="64">
        <v>0</v>
      </c>
      <c r="AB34" s="64">
        <v>0</v>
      </c>
      <c r="AD34" s="64">
        <f t="shared" si="13"/>
        <v>0</v>
      </c>
      <c r="AE34" s="64">
        <v>0</v>
      </c>
      <c r="AF34" s="64">
        <v>0</v>
      </c>
      <c r="AH34" s="64">
        <f t="shared" si="14"/>
        <v>0</v>
      </c>
      <c r="AI34" s="64">
        <v>0</v>
      </c>
      <c r="AJ34" s="64">
        <v>0</v>
      </c>
      <c r="AL34" s="64">
        <f t="shared" si="15"/>
        <v>0</v>
      </c>
      <c r="AM34" s="64">
        <v>0</v>
      </c>
      <c r="AN34" s="64">
        <v>0</v>
      </c>
      <c r="AO34" s="165" t="s">
        <v>32</v>
      </c>
    </row>
    <row r="35" spans="1:41" hidden="1" x14ac:dyDescent="0.25">
      <c r="B35" s="63">
        <f>+'Revenue Input'!B27</f>
        <v>100</v>
      </c>
      <c r="C35" s="63">
        <f>+'Revenue Input'!C27</f>
        <v>3476</v>
      </c>
      <c r="D35" s="83">
        <f>+'Revenue Input'!D27</f>
        <v>0</v>
      </c>
      <c r="E35" s="84">
        <f>+'Revenue Input'!E27</f>
        <v>0</v>
      </c>
      <c r="F35" s="63" t="str">
        <f>+'Revenue Input'!F27</f>
        <v>Commissions</v>
      </c>
      <c r="G35" s="140">
        <f>+'Revenue Input'!O27</f>
        <v>0</v>
      </c>
      <c r="H35" s="140">
        <f>+'Revenue Input'!P27</f>
        <v>0</v>
      </c>
      <c r="I35" s="140">
        <f>+'Revenue Input'!Q27</f>
        <v>0</v>
      </c>
      <c r="J35" s="129" t="str">
        <f t="shared" si="3"/>
        <v/>
      </c>
      <c r="L35" s="129"/>
      <c r="M35" s="129"/>
      <c r="N35" s="130"/>
      <c r="O35" s="136"/>
      <c r="P35" s="136">
        <f t="shared" si="31"/>
        <v>0</v>
      </c>
      <c r="Q35" s="136">
        <f t="shared" si="32"/>
        <v>0</v>
      </c>
      <c r="R35" s="136">
        <f t="shared" si="6"/>
        <v>0</v>
      </c>
      <c r="S35" s="136">
        <f t="shared" si="7"/>
        <v>0</v>
      </c>
      <c r="T35" s="136">
        <f t="shared" si="8"/>
        <v>0</v>
      </c>
      <c r="U35" s="136">
        <f t="shared" si="9"/>
        <v>0</v>
      </c>
      <c r="V35" s="136">
        <f t="shared" si="10"/>
        <v>0</v>
      </c>
      <c r="W35" s="136">
        <f t="shared" si="33"/>
        <v>0</v>
      </c>
      <c r="X35" s="130">
        <f t="shared" si="34"/>
        <v>0</v>
      </c>
      <c r="Z35" s="64">
        <f t="shared" si="12"/>
        <v>0</v>
      </c>
      <c r="AA35" s="64">
        <f t="shared" si="57"/>
        <v>0</v>
      </c>
      <c r="AB35" s="64">
        <f t="shared" si="58"/>
        <v>0</v>
      </c>
      <c r="AD35" s="64">
        <f t="shared" si="13"/>
        <v>0</v>
      </c>
      <c r="AE35" s="64">
        <f t="shared" si="59"/>
        <v>0</v>
      </c>
      <c r="AF35" s="64">
        <f t="shared" si="60"/>
        <v>0</v>
      </c>
      <c r="AH35" s="64">
        <f t="shared" si="14"/>
        <v>0</v>
      </c>
      <c r="AI35" s="64">
        <f t="shared" si="35"/>
        <v>0</v>
      </c>
      <c r="AJ35" s="64">
        <f t="shared" si="36"/>
        <v>0</v>
      </c>
      <c r="AL35" s="64">
        <f t="shared" si="15"/>
        <v>0</v>
      </c>
      <c r="AM35" s="64">
        <f t="shared" si="37"/>
        <v>0</v>
      </c>
      <c r="AN35" s="64">
        <f t="shared" si="38"/>
        <v>0</v>
      </c>
      <c r="AO35" s="165" t="s">
        <v>33</v>
      </c>
    </row>
    <row r="36" spans="1:41" x14ac:dyDescent="0.25">
      <c r="B36" s="63">
        <f>+'Revenue Input'!B28</f>
        <v>100</v>
      </c>
      <c r="C36" s="63">
        <f>+'Revenue Input'!C28</f>
        <v>3478</v>
      </c>
      <c r="D36" s="83">
        <f>+'Revenue Input'!D28</f>
        <v>0</v>
      </c>
      <c r="E36" s="84">
        <f>+'Revenue Input'!E28</f>
        <v>0</v>
      </c>
      <c r="F36" s="63" t="str">
        <f>+'Revenue Input'!F28</f>
        <v>T Shirt</v>
      </c>
      <c r="G36" s="140">
        <f>+'Revenue Input'!O28</f>
        <v>24185.23</v>
      </c>
      <c r="H36" s="140">
        <f>+'Revenue Input'!P28</f>
        <v>0</v>
      </c>
      <c r="I36" s="140">
        <f>+'Revenue Input'!Q28</f>
        <v>24185.23</v>
      </c>
      <c r="J36" s="129" t="str">
        <f t="shared" si="3"/>
        <v>*</v>
      </c>
      <c r="L36" s="129"/>
      <c r="M36" s="129"/>
      <c r="N36" s="130"/>
      <c r="O36" s="136"/>
      <c r="P36" s="136">
        <f t="shared" si="31"/>
        <v>0</v>
      </c>
      <c r="Q36" s="136">
        <f t="shared" si="32"/>
        <v>0</v>
      </c>
      <c r="R36" s="136">
        <f t="shared" si="6"/>
        <v>0</v>
      </c>
      <c r="S36" s="136">
        <f t="shared" si="7"/>
        <v>0</v>
      </c>
      <c r="T36" s="136">
        <f t="shared" si="8"/>
        <v>0</v>
      </c>
      <c r="U36" s="136">
        <f t="shared" si="9"/>
        <v>0</v>
      </c>
      <c r="V36" s="136">
        <f t="shared" si="10"/>
        <v>0</v>
      </c>
      <c r="W36" s="136">
        <f t="shared" si="33"/>
        <v>0</v>
      </c>
      <c r="X36" s="130">
        <f t="shared" si="34"/>
        <v>0</v>
      </c>
      <c r="Z36" s="64">
        <f t="shared" si="12"/>
        <v>34174.781521739133</v>
      </c>
      <c r="AA36" s="64">
        <f t="shared" si="57"/>
        <v>0</v>
      </c>
      <c r="AB36" s="64">
        <f t="shared" si="58"/>
        <v>34174.781521739133</v>
      </c>
      <c r="AD36" s="64">
        <f t="shared" si="13"/>
        <v>34174.781521739133</v>
      </c>
      <c r="AE36" s="64">
        <f t="shared" si="59"/>
        <v>0</v>
      </c>
      <c r="AF36" s="64">
        <f t="shared" si="60"/>
        <v>34174.781521739133</v>
      </c>
      <c r="AH36" s="64">
        <f t="shared" si="14"/>
        <v>36803.610869565222</v>
      </c>
      <c r="AI36" s="64">
        <f t="shared" si="35"/>
        <v>0</v>
      </c>
      <c r="AJ36" s="64">
        <f t="shared" si="36"/>
        <v>36803.610869565222</v>
      </c>
      <c r="AL36" s="64">
        <f t="shared" si="15"/>
        <v>36803.610869565222</v>
      </c>
      <c r="AM36" s="64">
        <f t="shared" si="37"/>
        <v>0</v>
      </c>
      <c r="AN36" s="64">
        <f t="shared" si="38"/>
        <v>36803.610869565222</v>
      </c>
      <c r="AO36" s="165" t="s">
        <v>33</v>
      </c>
    </row>
    <row r="37" spans="1:41" s="1" customFormat="1" ht="13.2" hidden="1" customHeight="1" x14ac:dyDescent="0.25">
      <c r="A37" s="9"/>
      <c r="B37" s="63">
        <f>+'Revenue Input'!B29</f>
        <v>100</v>
      </c>
      <c r="C37" s="63">
        <f>+'Revenue Input'!C29</f>
        <v>3479</v>
      </c>
      <c r="D37" s="83">
        <f>+'Revenue Input'!D29</f>
        <v>0</v>
      </c>
      <c r="E37" s="84">
        <f>+'Revenue Input'!E29</f>
        <v>0</v>
      </c>
      <c r="F37" s="63" t="str">
        <f>+'Revenue Input'!F29</f>
        <v>Car Tags</v>
      </c>
      <c r="G37" s="140">
        <f>+'Revenue Input'!O29</f>
        <v>0</v>
      </c>
      <c r="H37" s="140">
        <f>+'Revenue Input'!P29</f>
        <v>0</v>
      </c>
      <c r="I37" s="140">
        <f>+'Revenue Input'!Q29</f>
        <v>0</v>
      </c>
      <c r="J37" s="129" t="str">
        <f t="shared" si="3"/>
        <v/>
      </c>
      <c r="K37" s="129"/>
      <c r="L37" s="129"/>
      <c r="M37" s="129"/>
      <c r="N37" s="130"/>
      <c r="O37" s="136"/>
      <c r="P37" s="136">
        <f t="shared" si="31"/>
        <v>0</v>
      </c>
      <c r="Q37" s="136">
        <f t="shared" si="32"/>
        <v>0</v>
      </c>
      <c r="R37" s="136">
        <f t="shared" si="6"/>
        <v>0</v>
      </c>
      <c r="S37" s="136">
        <f t="shared" si="7"/>
        <v>0</v>
      </c>
      <c r="T37" s="136">
        <f t="shared" si="8"/>
        <v>0</v>
      </c>
      <c r="U37" s="136">
        <f t="shared" si="9"/>
        <v>0</v>
      </c>
      <c r="V37" s="136">
        <f t="shared" si="10"/>
        <v>0</v>
      </c>
      <c r="W37" s="136">
        <f t="shared" si="33"/>
        <v>0</v>
      </c>
      <c r="X37" s="130">
        <f t="shared" si="34"/>
        <v>0</v>
      </c>
      <c r="Y37" s="129"/>
      <c r="Z37" s="64">
        <f t="shared" si="12"/>
        <v>0</v>
      </c>
      <c r="AA37" s="64">
        <f>+H37</f>
        <v>0</v>
      </c>
      <c r="AB37" s="64">
        <f>+I37</f>
        <v>0</v>
      </c>
      <c r="AC37" s="129"/>
      <c r="AD37" s="64">
        <f t="shared" si="13"/>
        <v>0</v>
      </c>
      <c r="AE37" s="64">
        <f>+AA37</f>
        <v>0</v>
      </c>
      <c r="AF37" s="64">
        <f>+AB37</f>
        <v>0</v>
      </c>
      <c r="AG37" s="129"/>
      <c r="AH37" s="64">
        <f t="shared" si="14"/>
        <v>0</v>
      </c>
      <c r="AI37" s="64">
        <f>+AE37</f>
        <v>0</v>
      </c>
      <c r="AJ37" s="64">
        <f>+AF37</f>
        <v>0</v>
      </c>
      <c r="AK37" s="129"/>
      <c r="AL37" s="64">
        <f t="shared" si="15"/>
        <v>0</v>
      </c>
      <c r="AM37" s="64">
        <f>+AI37</f>
        <v>0</v>
      </c>
      <c r="AN37" s="64">
        <f>+AJ37</f>
        <v>0</v>
      </c>
      <c r="AO37" s="165" t="s">
        <v>34</v>
      </c>
    </row>
    <row r="38" spans="1:41" ht="13.2" customHeight="1" x14ac:dyDescent="0.25">
      <c r="B38" s="63">
        <f>+'Revenue Input'!B30</f>
        <v>100</v>
      </c>
      <c r="C38" s="63">
        <f>+'Revenue Input'!C30</f>
        <v>3480</v>
      </c>
      <c r="D38" s="83">
        <f>+'Revenue Input'!D30</f>
        <v>0</v>
      </c>
      <c r="E38" s="84">
        <f>+'Revenue Input'!E30</f>
        <v>0</v>
      </c>
      <c r="F38" s="63" t="str">
        <f>+'Revenue Input'!F30</f>
        <v>Fundraiser</v>
      </c>
      <c r="G38" s="140">
        <f>+'Revenue Input'!O30</f>
        <v>21654.48</v>
      </c>
      <c r="H38" s="140">
        <f>+'Revenue Input'!P30</f>
        <v>0</v>
      </c>
      <c r="I38" s="140">
        <f>+'Revenue Input'!Q30</f>
        <v>21654.48</v>
      </c>
      <c r="J38" s="129" t="str">
        <f t="shared" si="3"/>
        <v>*</v>
      </c>
      <c r="L38" s="129"/>
      <c r="M38" s="129"/>
      <c r="N38" s="130"/>
      <c r="O38" s="136"/>
      <c r="P38" s="136">
        <f t="shared" si="31"/>
        <v>0</v>
      </c>
      <c r="Q38" s="136">
        <f t="shared" si="32"/>
        <v>0</v>
      </c>
      <c r="R38" s="136">
        <f t="shared" si="6"/>
        <v>0</v>
      </c>
      <c r="S38" s="136">
        <f t="shared" si="7"/>
        <v>0</v>
      </c>
      <c r="T38" s="136">
        <f t="shared" si="8"/>
        <v>0</v>
      </c>
      <c r="U38" s="136">
        <f t="shared" si="9"/>
        <v>0</v>
      </c>
      <c r="V38" s="136">
        <f t="shared" si="10"/>
        <v>0</v>
      </c>
      <c r="W38" s="136">
        <f t="shared" si="33"/>
        <v>0</v>
      </c>
      <c r="X38" s="130">
        <f t="shared" si="34"/>
        <v>0</v>
      </c>
      <c r="Z38" s="64">
        <f t="shared" si="12"/>
        <v>21654.48</v>
      </c>
      <c r="AA38" s="64">
        <f t="shared" ref="AA38:AA45" si="65">+H38</f>
        <v>0</v>
      </c>
      <c r="AB38" s="64">
        <f t="shared" ref="AB38:AB45" si="66">+I38</f>
        <v>21654.48</v>
      </c>
      <c r="AD38" s="64">
        <f t="shared" si="13"/>
        <v>21654.48</v>
      </c>
      <c r="AE38" s="64">
        <f t="shared" ref="AE38:AE45" si="67">+AA38</f>
        <v>0</v>
      </c>
      <c r="AF38" s="64">
        <f t="shared" ref="AF38:AF45" si="68">+AB38</f>
        <v>21654.48</v>
      </c>
      <c r="AH38" s="64">
        <f t="shared" si="14"/>
        <v>21654.48</v>
      </c>
      <c r="AI38" s="64">
        <f t="shared" ref="AI38:AI45" si="69">+AE38</f>
        <v>0</v>
      </c>
      <c r="AJ38" s="64">
        <f t="shared" ref="AJ38:AJ45" si="70">+AF38</f>
        <v>21654.48</v>
      </c>
      <c r="AL38" s="64">
        <f t="shared" si="15"/>
        <v>21654.48</v>
      </c>
      <c r="AM38" s="64">
        <f t="shared" ref="AM38:AM45" si="71">+AI38</f>
        <v>0</v>
      </c>
      <c r="AN38" s="64">
        <f t="shared" ref="AN38:AN45" si="72">+AJ38</f>
        <v>21654.48</v>
      </c>
      <c r="AO38" s="165" t="s">
        <v>34</v>
      </c>
    </row>
    <row r="39" spans="1:41" hidden="1" x14ac:dyDescent="0.25">
      <c r="B39" s="63">
        <f>+'Revenue Input'!B31</f>
        <v>100</v>
      </c>
      <c r="C39" s="63">
        <f>+'Revenue Input'!C31</f>
        <v>3480</v>
      </c>
      <c r="D39" s="83">
        <f>+'Revenue Input'!D31</f>
        <v>0</v>
      </c>
      <c r="E39" s="84">
        <f>+'Revenue Input'!E31</f>
        <v>0</v>
      </c>
      <c r="F39" s="63" t="str">
        <f>+'Revenue Input'!F31</f>
        <v>Serve Grant</v>
      </c>
      <c r="G39" s="140">
        <f>+'Revenue Input'!O31</f>
        <v>0</v>
      </c>
      <c r="H39" s="140">
        <f>+'Revenue Input'!P31</f>
        <v>0</v>
      </c>
      <c r="I39" s="140">
        <f>+'Revenue Input'!Q31</f>
        <v>0</v>
      </c>
      <c r="J39" s="129" t="str">
        <f t="shared" si="3"/>
        <v/>
      </c>
      <c r="L39" s="129"/>
      <c r="M39" s="129"/>
      <c r="N39" s="130"/>
      <c r="O39" s="136"/>
      <c r="P39" s="136">
        <f t="shared" si="31"/>
        <v>0</v>
      </c>
      <c r="Q39" s="136">
        <f t="shared" si="32"/>
        <v>0</v>
      </c>
      <c r="R39" s="136">
        <f t="shared" si="6"/>
        <v>0</v>
      </c>
      <c r="S39" s="136">
        <f t="shared" si="7"/>
        <v>0</v>
      </c>
      <c r="T39" s="136">
        <f t="shared" si="8"/>
        <v>0</v>
      </c>
      <c r="U39" s="136">
        <f t="shared" si="9"/>
        <v>0</v>
      </c>
      <c r="V39" s="136">
        <f t="shared" si="10"/>
        <v>0</v>
      </c>
      <c r="W39" s="136">
        <f t="shared" si="33"/>
        <v>0</v>
      </c>
      <c r="X39" s="130">
        <f t="shared" si="34"/>
        <v>0</v>
      </c>
      <c r="Z39" s="64">
        <f t="shared" si="12"/>
        <v>0</v>
      </c>
      <c r="AA39" s="64">
        <f t="shared" si="65"/>
        <v>0</v>
      </c>
      <c r="AB39" s="64">
        <f t="shared" si="66"/>
        <v>0</v>
      </c>
      <c r="AD39" s="64">
        <f t="shared" si="13"/>
        <v>0</v>
      </c>
      <c r="AE39" s="64">
        <f t="shared" si="67"/>
        <v>0</v>
      </c>
      <c r="AF39" s="64">
        <f t="shared" si="68"/>
        <v>0</v>
      </c>
      <c r="AH39" s="64">
        <f t="shared" si="14"/>
        <v>0</v>
      </c>
      <c r="AI39" s="64">
        <f t="shared" si="69"/>
        <v>0</v>
      </c>
      <c r="AJ39" s="64">
        <f t="shared" si="70"/>
        <v>0</v>
      </c>
      <c r="AL39" s="64">
        <f t="shared" si="15"/>
        <v>0</v>
      </c>
      <c r="AM39" s="64">
        <f t="shared" si="71"/>
        <v>0</v>
      </c>
      <c r="AN39" s="64">
        <f t="shared" si="72"/>
        <v>0</v>
      </c>
      <c r="AO39" s="165" t="s">
        <v>34</v>
      </c>
    </row>
    <row r="40" spans="1:41" hidden="1" x14ac:dyDescent="0.25">
      <c r="B40" s="63">
        <f>+'Revenue Input'!B32</f>
        <v>100</v>
      </c>
      <c r="C40" s="63">
        <f>+'Revenue Input'!C32</f>
        <v>3481</v>
      </c>
      <c r="D40" s="83">
        <f>+'Revenue Input'!D32</f>
        <v>0</v>
      </c>
      <c r="E40" s="84">
        <f>+'Revenue Input'!E32</f>
        <v>0</v>
      </c>
      <c r="F40" s="63" t="str">
        <f>+'Revenue Input'!F32</f>
        <v>Uniforms</v>
      </c>
      <c r="G40" s="140">
        <f>+'Revenue Input'!O32</f>
        <v>0</v>
      </c>
      <c r="H40" s="140">
        <f>+'Revenue Input'!P32</f>
        <v>0</v>
      </c>
      <c r="I40" s="140">
        <f>+'Revenue Input'!Q32</f>
        <v>0</v>
      </c>
      <c r="J40" s="129" t="str">
        <f t="shared" si="3"/>
        <v/>
      </c>
      <c r="L40" s="129"/>
      <c r="M40" s="129"/>
      <c r="N40" s="130"/>
      <c r="O40" s="136"/>
      <c r="P40" s="136">
        <f t="shared" si="31"/>
        <v>0</v>
      </c>
      <c r="Q40" s="136">
        <f t="shared" si="32"/>
        <v>0</v>
      </c>
      <c r="R40" s="136">
        <f t="shared" si="6"/>
        <v>0</v>
      </c>
      <c r="S40" s="136">
        <f t="shared" si="7"/>
        <v>0</v>
      </c>
      <c r="T40" s="136">
        <f t="shared" si="8"/>
        <v>0</v>
      </c>
      <c r="U40" s="136">
        <f t="shared" si="9"/>
        <v>0</v>
      </c>
      <c r="V40" s="136">
        <f t="shared" si="10"/>
        <v>0</v>
      </c>
      <c r="W40" s="136">
        <f t="shared" si="33"/>
        <v>0</v>
      </c>
      <c r="X40" s="130">
        <f t="shared" si="34"/>
        <v>0</v>
      </c>
      <c r="Z40" s="64">
        <f t="shared" si="12"/>
        <v>0</v>
      </c>
      <c r="AA40" s="64">
        <f t="shared" si="65"/>
        <v>0</v>
      </c>
      <c r="AB40" s="64">
        <f t="shared" si="66"/>
        <v>0</v>
      </c>
      <c r="AD40" s="64">
        <f t="shared" si="13"/>
        <v>0</v>
      </c>
      <c r="AE40" s="64">
        <f t="shared" si="67"/>
        <v>0</v>
      </c>
      <c r="AF40" s="64">
        <f t="shared" si="68"/>
        <v>0</v>
      </c>
      <c r="AH40" s="64">
        <f t="shared" si="14"/>
        <v>0</v>
      </c>
      <c r="AI40" s="64">
        <f t="shared" si="69"/>
        <v>0</v>
      </c>
      <c r="AJ40" s="64">
        <f t="shared" si="70"/>
        <v>0</v>
      </c>
      <c r="AL40" s="64">
        <f t="shared" si="15"/>
        <v>0</v>
      </c>
      <c r="AM40" s="64">
        <f t="shared" si="71"/>
        <v>0</v>
      </c>
      <c r="AN40" s="64">
        <f t="shared" si="72"/>
        <v>0</v>
      </c>
      <c r="AO40" s="165" t="s">
        <v>34</v>
      </c>
    </row>
    <row r="41" spans="1:41" s="1" customFormat="1" hidden="1" x14ac:dyDescent="0.25">
      <c r="A41" s="9"/>
      <c r="B41" s="63">
        <f>+'Revenue Input'!B33</f>
        <v>100</v>
      </c>
      <c r="C41" s="63">
        <f>+'Revenue Input'!C33</f>
        <v>3481</v>
      </c>
      <c r="D41" s="83">
        <f>+'Revenue Input'!D33</f>
        <v>0</v>
      </c>
      <c r="E41" s="84">
        <f>+'Revenue Input'!E33</f>
        <v>0</v>
      </c>
      <c r="F41" s="63" t="str">
        <f>+'Revenue Input'!F33</f>
        <v>Fundraiser</v>
      </c>
      <c r="G41" s="140">
        <f>+'Revenue Input'!O33</f>
        <v>0</v>
      </c>
      <c r="H41" s="140">
        <f>+'Revenue Input'!P33</f>
        <v>0</v>
      </c>
      <c r="I41" s="140">
        <f>+'Revenue Input'!Q33</f>
        <v>0</v>
      </c>
      <c r="J41" s="129" t="str">
        <f t="shared" si="3"/>
        <v/>
      </c>
      <c r="K41" s="129"/>
      <c r="L41" s="129"/>
      <c r="M41" s="129"/>
      <c r="N41" s="130"/>
      <c r="O41" s="136"/>
      <c r="P41" s="136">
        <f t="shared" si="31"/>
        <v>0</v>
      </c>
      <c r="Q41" s="136">
        <f t="shared" si="32"/>
        <v>0</v>
      </c>
      <c r="R41" s="136">
        <f t="shared" si="6"/>
        <v>0</v>
      </c>
      <c r="S41" s="136">
        <f t="shared" si="7"/>
        <v>0</v>
      </c>
      <c r="T41" s="136">
        <f t="shared" si="8"/>
        <v>0</v>
      </c>
      <c r="U41" s="136">
        <f t="shared" si="9"/>
        <v>0</v>
      </c>
      <c r="V41" s="136">
        <f t="shared" si="10"/>
        <v>0</v>
      </c>
      <c r="W41" s="136">
        <f t="shared" si="33"/>
        <v>0</v>
      </c>
      <c r="X41" s="130">
        <f t="shared" si="34"/>
        <v>0</v>
      </c>
      <c r="Y41" s="129"/>
      <c r="Z41" s="64">
        <f t="shared" si="12"/>
        <v>0</v>
      </c>
      <c r="AA41" s="64">
        <f t="shared" si="65"/>
        <v>0</v>
      </c>
      <c r="AB41" s="64">
        <f t="shared" si="66"/>
        <v>0</v>
      </c>
      <c r="AC41" s="129"/>
      <c r="AD41" s="64">
        <f t="shared" si="13"/>
        <v>0</v>
      </c>
      <c r="AE41" s="64">
        <f t="shared" si="67"/>
        <v>0</v>
      </c>
      <c r="AF41" s="64">
        <f t="shared" si="68"/>
        <v>0</v>
      </c>
      <c r="AG41" s="129"/>
      <c r="AH41" s="64">
        <f t="shared" si="14"/>
        <v>0</v>
      </c>
      <c r="AI41" s="64">
        <f t="shared" si="69"/>
        <v>0</v>
      </c>
      <c r="AJ41" s="64">
        <f t="shared" si="70"/>
        <v>0</v>
      </c>
      <c r="AK41" s="129"/>
      <c r="AL41" s="64">
        <f t="shared" si="15"/>
        <v>0</v>
      </c>
      <c r="AM41" s="64">
        <f t="shared" si="71"/>
        <v>0</v>
      </c>
      <c r="AN41" s="64">
        <f t="shared" si="72"/>
        <v>0</v>
      </c>
      <c r="AO41" s="165" t="s">
        <v>34</v>
      </c>
    </row>
    <row r="42" spans="1:41" s="1" customFormat="1" ht="13.2" hidden="1" customHeight="1" x14ac:dyDescent="0.25">
      <c r="A42" s="9"/>
      <c r="B42" s="63">
        <f>+'Revenue Input'!B34</f>
        <v>100</v>
      </c>
      <c r="C42" s="63">
        <f>+'Revenue Input'!C34</f>
        <v>3482</v>
      </c>
      <c r="D42" s="83">
        <f>+'Revenue Input'!D34</f>
        <v>0</v>
      </c>
      <c r="E42" s="84">
        <f>+'Revenue Input'!E34</f>
        <v>0</v>
      </c>
      <c r="F42" s="63" t="str">
        <f>+'Revenue Input'!F34</f>
        <v>Sports</v>
      </c>
      <c r="G42" s="140">
        <f>+'Revenue Input'!O34</f>
        <v>0</v>
      </c>
      <c r="H42" s="140">
        <f>+'Revenue Input'!P34</f>
        <v>0</v>
      </c>
      <c r="I42" s="140">
        <f>+'Revenue Input'!Q34</f>
        <v>0</v>
      </c>
      <c r="J42" s="129" t="str">
        <f t="shared" si="3"/>
        <v/>
      </c>
      <c r="K42" s="129"/>
      <c r="L42" s="129"/>
      <c r="M42" s="129"/>
      <c r="N42" s="130"/>
      <c r="O42" s="136"/>
      <c r="P42" s="136">
        <f t="shared" si="31"/>
        <v>0</v>
      </c>
      <c r="Q42" s="136">
        <f t="shared" si="32"/>
        <v>0</v>
      </c>
      <c r="R42" s="136">
        <f t="shared" si="6"/>
        <v>0</v>
      </c>
      <c r="S42" s="136">
        <f t="shared" si="7"/>
        <v>0</v>
      </c>
      <c r="T42" s="136">
        <f t="shared" si="8"/>
        <v>0</v>
      </c>
      <c r="U42" s="136">
        <f t="shared" si="9"/>
        <v>0</v>
      </c>
      <c r="V42" s="136">
        <f t="shared" si="10"/>
        <v>0</v>
      </c>
      <c r="W42" s="136">
        <f t="shared" si="33"/>
        <v>0</v>
      </c>
      <c r="X42" s="130">
        <f t="shared" si="34"/>
        <v>0</v>
      </c>
      <c r="Y42" s="129"/>
      <c r="Z42" s="64">
        <f t="shared" si="12"/>
        <v>0</v>
      </c>
      <c r="AA42" s="64">
        <f t="shared" si="65"/>
        <v>0</v>
      </c>
      <c r="AB42" s="64">
        <f t="shared" si="66"/>
        <v>0</v>
      </c>
      <c r="AC42" s="129"/>
      <c r="AD42" s="64">
        <f t="shared" si="13"/>
        <v>0</v>
      </c>
      <c r="AE42" s="64">
        <f t="shared" si="67"/>
        <v>0</v>
      </c>
      <c r="AF42" s="64">
        <f t="shared" si="68"/>
        <v>0</v>
      </c>
      <c r="AG42" s="129"/>
      <c r="AH42" s="64">
        <f t="shared" si="14"/>
        <v>0</v>
      </c>
      <c r="AI42" s="64">
        <f t="shared" si="69"/>
        <v>0</v>
      </c>
      <c r="AJ42" s="64">
        <f t="shared" si="70"/>
        <v>0</v>
      </c>
      <c r="AK42" s="129"/>
      <c r="AL42" s="64">
        <f t="shared" si="15"/>
        <v>0</v>
      </c>
      <c r="AM42" s="64">
        <f t="shared" si="71"/>
        <v>0</v>
      </c>
      <c r="AN42" s="64">
        <f t="shared" si="72"/>
        <v>0</v>
      </c>
      <c r="AO42" s="165" t="s">
        <v>34</v>
      </c>
    </row>
    <row r="43" spans="1:41" s="1" customFormat="1" ht="13.2" customHeight="1" x14ac:dyDescent="0.25">
      <c r="A43" s="9"/>
      <c r="B43" s="63">
        <f>+'Revenue Input'!B35</f>
        <v>100</v>
      </c>
      <c r="C43" s="63">
        <f>+'Revenue Input'!C35</f>
        <v>3483</v>
      </c>
      <c r="D43" s="83">
        <f>+'Revenue Input'!D35</f>
        <v>0</v>
      </c>
      <c r="E43" s="84">
        <f>+'Revenue Input'!E35</f>
        <v>0</v>
      </c>
      <c r="F43" s="63" t="str">
        <f>+'Revenue Input'!F35</f>
        <v>Aftercare</v>
      </c>
      <c r="G43" s="140">
        <f>+'Revenue Input'!O35</f>
        <v>103943.18984902024</v>
      </c>
      <c r="H43" s="140">
        <f>+'Revenue Input'!P35</f>
        <v>103943.18984902024</v>
      </c>
      <c r="I43" s="140">
        <f>+'Revenue Input'!Q35</f>
        <v>0</v>
      </c>
      <c r="J43" s="129" t="str">
        <f t="shared" si="3"/>
        <v>*</v>
      </c>
      <c r="K43" s="129"/>
      <c r="L43" s="129"/>
      <c r="M43" s="129"/>
      <c r="N43" s="130"/>
      <c r="O43" s="136"/>
      <c r="P43" s="136">
        <f t="shared" si="31"/>
        <v>0</v>
      </c>
      <c r="Q43" s="136">
        <f t="shared" si="32"/>
        <v>0</v>
      </c>
      <c r="R43" s="136">
        <f t="shared" si="6"/>
        <v>0</v>
      </c>
      <c r="S43" s="136">
        <f t="shared" si="7"/>
        <v>0</v>
      </c>
      <c r="T43" s="136">
        <f t="shared" si="8"/>
        <v>0</v>
      </c>
      <c r="U43" s="136">
        <f t="shared" si="9"/>
        <v>0</v>
      </c>
      <c r="V43" s="136">
        <f t="shared" si="10"/>
        <v>0</v>
      </c>
      <c r="W43" s="136">
        <f t="shared" si="33"/>
        <v>0</v>
      </c>
      <c r="X43" s="130">
        <f t="shared" si="34"/>
        <v>0</v>
      </c>
      <c r="Y43" s="129"/>
      <c r="Z43" s="64">
        <f t="shared" si="12"/>
        <v>103943.18984902024</v>
      </c>
      <c r="AA43" s="64">
        <f t="shared" si="65"/>
        <v>103943.18984902024</v>
      </c>
      <c r="AB43" s="64">
        <f t="shared" si="66"/>
        <v>0</v>
      </c>
      <c r="AC43" s="129"/>
      <c r="AD43" s="64">
        <f t="shared" si="13"/>
        <v>103943.18984902024</v>
      </c>
      <c r="AE43" s="64">
        <f t="shared" si="67"/>
        <v>103943.18984902024</v>
      </c>
      <c r="AF43" s="64">
        <f t="shared" si="68"/>
        <v>0</v>
      </c>
      <c r="AG43" s="129"/>
      <c r="AH43" s="64">
        <f t="shared" si="14"/>
        <v>103943.18984902024</v>
      </c>
      <c r="AI43" s="64">
        <f t="shared" si="69"/>
        <v>103943.18984902024</v>
      </c>
      <c r="AJ43" s="64">
        <f t="shared" si="70"/>
        <v>0</v>
      </c>
      <c r="AK43" s="129"/>
      <c r="AL43" s="64">
        <f t="shared" si="15"/>
        <v>103943.18984902024</v>
      </c>
      <c r="AM43" s="64">
        <f t="shared" si="71"/>
        <v>103943.18984902024</v>
      </c>
      <c r="AN43" s="64">
        <f t="shared" si="72"/>
        <v>0</v>
      </c>
      <c r="AO43" s="165" t="s">
        <v>34</v>
      </c>
    </row>
    <row r="44" spans="1:41" s="1" customFormat="1" ht="13.2" customHeight="1" x14ac:dyDescent="0.25">
      <c r="A44" s="9"/>
      <c r="B44" s="63">
        <f>+'Revenue Input'!B36</f>
        <v>100</v>
      </c>
      <c r="C44" s="63">
        <f>+'Revenue Input'!C36</f>
        <v>3484</v>
      </c>
      <c r="D44" s="83">
        <f>+'Revenue Input'!D36</f>
        <v>0</v>
      </c>
      <c r="E44" s="84">
        <f>+'Revenue Input'!E36</f>
        <v>0</v>
      </c>
      <c r="F44" s="63" t="str">
        <f>+'Revenue Input'!F36</f>
        <v>Student Activities</v>
      </c>
      <c r="G44" s="140">
        <f>+'Revenue Input'!O36</f>
        <v>980</v>
      </c>
      <c r="H44" s="140">
        <f>+'Revenue Input'!P36</f>
        <v>0</v>
      </c>
      <c r="I44" s="140">
        <f>+'Revenue Input'!Q36</f>
        <v>980</v>
      </c>
      <c r="J44" s="129" t="str">
        <f t="shared" si="3"/>
        <v>*</v>
      </c>
      <c r="K44" s="129"/>
      <c r="L44" s="129"/>
      <c r="M44" s="129"/>
      <c r="N44" s="130"/>
      <c r="O44" s="136"/>
      <c r="P44" s="136">
        <f t="shared" si="31"/>
        <v>0</v>
      </c>
      <c r="Q44" s="136">
        <f t="shared" si="32"/>
        <v>0</v>
      </c>
      <c r="R44" s="136">
        <f t="shared" si="6"/>
        <v>0</v>
      </c>
      <c r="S44" s="136">
        <f t="shared" si="7"/>
        <v>0</v>
      </c>
      <c r="T44" s="136">
        <f t="shared" si="8"/>
        <v>0</v>
      </c>
      <c r="U44" s="136">
        <f t="shared" si="9"/>
        <v>0</v>
      </c>
      <c r="V44" s="136">
        <f>IF(B44=360,I44,0)</f>
        <v>0</v>
      </c>
      <c r="W44" s="136">
        <f t="shared" si="33"/>
        <v>0</v>
      </c>
      <c r="X44" s="130">
        <f t="shared" si="34"/>
        <v>0</v>
      </c>
      <c r="Y44" s="129"/>
      <c r="Z44" s="64">
        <f t="shared" si="12"/>
        <v>980</v>
      </c>
      <c r="AA44" s="64">
        <f t="shared" si="65"/>
        <v>0</v>
      </c>
      <c r="AB44" s="64">
        <f t="shared" si="66"/>
        <v>980</v>
      </c>
      <c r="AC44" s="129"/>
      <c r="AD44" s="64">
        <f t="shared" si="13"/>
        <v>980</v>
      </c>
      <c r="AE44" s="64">
        <f t="shared" si="67"/>
        <v>0</v>
      </c>
      <c r="AF44" s="64">
        <f t="shared" si="68"/>
        <v>980</v>
      </c>
      <c r="AG44" s="129"/>
      <c r="AH44" s="64">
        <f t="shared" si="14"/>
        <v>980</v>
      </c>
      <c r="AI44" s="64">
        <f t="shared" si="69"/>
        <v>0</v>
      </c>
      <c r="AJ44" s="64">
        <f t="shared" si="70"/>
        <v>980</v>
      </c>
      <c r="AK44" s="129"/>
      <c r="AL44" s="64">
        <f t="shared" si="15"/>
        <v>980</v>
      </c>
      <c r="AM44" s="64">
        <f t="shared" si="71"/>
        <v>0</v>
      </c>
      <c r="AN44" s="64">
        <f t="shared" si="72"/>
        <v>980</v>
      </c>
      <c r="AO44" s="165" t="s">
        <v>34</v>
      </c>
    </row>
    <row r="45" spans="1:41" s="1" customFormat="1" ht="13.2" hidden="1" customHeight="1" x14ac:dyDescent="0.25">
      <c r="A45" s="9"/>
      <c r="B45" s="63">
        <f>+'Revenue Input'!B37</f>
        <v>100</v>
      </c>
      <c r="C45" s="63">
        <f>+'Revenue Input'!C37</f>
        <v>3490</v>
      </c>
      <c r="D45" s="83">
        <f>+'Revenue Input'!D37</f>
        <v>0</v>
      </c>
      <c r="E45" s="84">
        <f>+'Revenue Input'!E37</f>
        <v>0</v>
      </c>
      <c r="F45" s="63" t="str">
        <f>+'Revenue Input'!F37</f>
        <v>Aftercare (LEAP)</v>
      </c>
      <c r="G45" s="140">
        <f>+'Revenue Input'!O37</f>
        <v>0</v>
      </c>
      <c r="H45" s="140">
        <f>+'Revenue Input'!P37</f>
        <v>0</v>
      </c>
      <c r="I45" s="140">
        <f>+'Revenue Input'!Q37</f>
        <v>0</v>
      </c>
      <c r="J45" s="129" t="str">
        <f t="shared" si="3"/>
        <v/>
      </c>
      <c r="K45" s="129"/>
      <c r="L45" s="129"/>
      <c r="M45" s="129"/>
      <c r="N45" s="130"/>
      <c r="O45" s="136"/>
      <c r="P45" s="136">
        <f t="shared" si="31"/>
        <v>0</v>
      </c>
      <c r="Q45" s="136">
        <f t="shared" si="32"/>
        <v>0</v>
      </c>
      <c r="R45" s="136">
        <f t="shared" si="6"/>
        <v>0</v>
      </c>
      <c r="S45" s="136">
        <f t="shared" si="7"/>
        <v>0</v>
      </c>
      <c r="T45" s="136">
        <f t="shared" si="8"/>
        <v>0</v>
      </c>
      <c r="U45" s="136">
        <f t="shared" si="9"/>
        <v>0</v>
      </c>
      <c r="V45" s="136">
        <f t="shared" si="10"/>
        <v>0</v>
      </c>
      <c r="W45" s="136">
        <f t="shared" si="33"/>
        <v>0</v>
      </c>
      <c r="X45" s="130">
        <f t="shared" si="34"/>
        <v>0</v>
      </c>
      <c r="Y45" s="129"/>
      <c r="Z45" s="64">
        <f t="shared" si="12"/>
        <v>0</v>
      </c>
      <c r="AA45" s="64">
        <f t="shared" si="65"/>
        <v>0</v>
      </c>
      <c r="AB45" s="64">
        <f t="shared" si="66"/>
        <v>0</v>
      </c>
      <c r="AC45" s="129"/>
      <c r="AD45" s="64">
        <f t="shared" si="13"/>
        <v>0</v>
      </c>
      <c r="AE45" s="64">
        <f t="shared" si="67"/>
        <v>0</v>
      </c>
      <c r="AF45" s="64">
        <f t="shared" si="68"/>
        <v>0</v>
      </c>
      <c r="AG45" s="129"/>
      <c r="AH45" s="64">
        <f t="shared" si="14"/>
        <v>0</v>
      </c>
      <c r="AI45" s="64">
        <f t="shared" si="69"/>
        <v>0</v>
      </c>
      <c r="AJ45" s="64">
        <f t="shared" si="70"/>
        <v>0</v>
      </c>
      <c r="AK45" s="129"/>
      <c r="AL45" s="64">
        <f t="shared" si="15"/>
        <v>0</v>
      </c>
      <c r="AM45" s="64">
        <f t="shared" si="71"/>
        <v>0</v>
      </c>
      <c r="AN45" s="64">
        <f t="shared" si="72"/>
        <v>0</v>
      </c>
      <c r="AO45" s="165" t="s">
        <v>34</v>
      </c>
    </row>
    <row r="46" spans="1:41" s="1" customFormat="1" ht="13.2" hidden="1" customHeight="1" x14ac:dyDescent="0.25">
      <c r="A46" s="9"/>
      <c r="B46" s="63">
        <f>+'Revenue Input'!B38</f>
        <v>100</v>
      </c>
      <c r="C46" s="63">
        <f>+'Revenue Input'!C38</f>
        <v>3497</v>
      </c>
      <c r="D46" s="83">
        <f>+'Revenue Input'!D38</f>
        <v>0</v>
      </c>
      <c r="E46" s="84">
        <f>+'Revenue Input'!E38</f>
        <v>0</v>
      </c>
      <c r="F46" s="63" t="str">
        <f>+'Revenue Input'!F38</f>
        <v>Recovery of Prior Year Funds</v>
      </c>
      <c r="G46" s="140">
        <f>+'Revenue Input'!O38</f>
        <v>0</v>
      </c>
      <c r="H46" s="140">
        <f>+'Revenue Input'!P38</f>
        <v>0</v>
      </c>
      <c r="I46" s="140">
        <f>+'Revenue Input'!Q38</f>
        <v>0</v>
      </c>
      <c r="J46" s="129" t="str">
        <f t="shared" si="3"/>
        <v/>
      </c>
      <c r="K46" s="129"/>
      <c r="L46" s="129"/>
      <c r="M46" s="129"/>
      <c r="N46" s="130"/>
      <c r="O46" s="136"/>
      <c r="P46" s="136">
        <f t="shared" si="31"/>
        <v>0</v>
      </c>
      <c r="Q46" s="136">
        <f t="shared" si="32"/>
        <v>0</v>
      </c>
      <c r="R46" s="136">
        <f t="shared" si="6"/>
        <v>0</v>
      </c>
      <c r="S46" s="136">
        <f t="shared" si="7"/>
        <v>0</v>
      </c>
      <c r="T46" s="136">
        <f t="shared" si="8"/>
        <v>0</v>
      </c>
      <c r="U46" s="136">
        <f t="shared" si="9"/>
        <v>0</v>
      </c>
      <c r="V46" s="136">
        <f t="shared" si="10"/>
        <v>0</v>
      </c>
      <c r="W46" s="136">
        <f t="shared" si="33"/>
        <v>0</v>
      </c>
      <c r="X46" s="130">
        <f t="shared" si="34"/>
        <v>0</v>
      </c>
      <c r="Y46" s="129"/>
      <c r="Z46" s="64">
        <f t="shared" si="12"/>
        <v>0</v>
      </c>
      <c r="AA46" s="64">
        <f t="shared" ref="AA46" si="73">+H46/H$11*AA$11</f>
        <v>0</v>
      </c>
      <c r="AB46" s="64">
        <f t="shared" ref="AB46" si="74">+I46/I$11*AB$11</f>
        <v>0</v>
      </c>
      <c r="AC46" s="129"/>
      <c r="AD46" s="64">
        <f t="shared" si="13"/>
        <v>0</v>
      </c>
      <c r="AE46" s="64">
        <f t="shared" ref="AE46" si="75">+AA46/AA$11*AE$11</f>
        <v>0</v>
      </c>
      <c r="AF46" s="64">
        <f t="shared" ref="AF46" si="76">+AB46/AB$11*AF$11</f>
        <v>0</v>
      </c>
      <c r="AG46" s="129"/>
      <c r="AH46" s="64">
        <f t="shared" si="14"/>
        <v>0</v>
      </c>
      <c r="AI46" s="64">
        <f t="shared" ref="AI46" si="77">+AE46/AE$11*AI$11</f>
        <v>0</v>
      </c>
      <c r="AJ46" s="64">
        <f t="shared" ref="AJ46" si="78">+AF46/AF$11*AJ$11</f>
        <v>0</v>
      </c>
      <c r="AK46" s="129"/>
      <c r="AL46" s="64">
        <f t="shared" si="15"/>
        <v>0</v>
      </c>
      <c r="AM46" s="64">
        <f t="shared" ref="AM46" si="79">+AI46/AI$11*AM$11</f>
        <v>0</v>
      </c>
      <c r="AN46" s="64">
        <f t="shared" ref="AN46" si="80">+AJ46/AJ$11*AN$11</f>
        <v>0</v>
      </c>
      <c r="AO46" s="165" t="s">
        <v>33</v>
      </c>
    </row>
    <row r="47" spans="1:41" s="1" customFormat="1" ht="13.2" customHeight="1" x14ac:dyDescent="0.25">
      <c r="A47" s="9"/>
      <c r="B47" s="63">
        <f>+'Revenue Input'!B39</f>
        <v>100</v>
      </c>
      <c r="C47" s="63">
        <f>+'Revenue Input'!C39</f>
        <v>3600</v>
      </c>
      <c r="D47" s="83">
        <f>+'Revenue Input'!D39</f>
        <v>0</v>
      </c>
      <c r="E47" s="84">
        <f>+'Revenue Input'!E39</f>
        <v>0</v>
      </c>
      <c r="F47" s="63" t="str">
        <f>+'Revenue Input'!F39</f>
        <v>Donations</v>
      </c>
      <c r="G47" s="140">
        <f>+'Revenue Input'!O39</f>
        <v>1500</v>
      </c>
      <c r="H47" s="140">
        <f>+'Revenue Input'!P39</f>
        <v>0</v>
      </c>
      <c r="I47" s="140">
        <f>+'Revenue Input'!Q39</f>
        <v>1500</v>
      </c>
      <c r="J47" s="129" t="str">
        <f t="shared" si="3"/>
        <v>*</v>
      </c>
      <c r="K47" s="129"/>
      <c r="L47" s="129"/>
      <c r="M47" s="129"/>
      <c r="N47" s="130"/>
      <c r="O47" s="136"/>
      <c r="P47" s="136">
        <f t="shared" si="31"/>
        <v>0</v>
      </c>
      <c r="Q47" s="136">
        <f t="shared" si="32"/>
        <v>0</v>
      </c>
      <c r="R47" s="136">
        <f t="shared" si="6"/>
        <v>0</v>
      </c>
      <c r="S47" s="136">
        <f t="shared" si="7"/>
        <v>0</v>
      </c>
      <c r="T47" s="136">
        <f t="shared" si="8"/>
        <v>0</v>
      </c>
      <c r="U47" s="136">
        <f t="shared" si="9"/>
        <v>0</v>
      </c>
      <c r="V47" s="136">
        <f t="shared" si="10"/>
        <v>0</v>
      </c>
      <c r="W47" s="136">
        <f t="shared" si="33"/>
        <v>0</v>
      </c>
      <c r="X47" s="130">
        <f t="shared" si="34"/>
        <v>0</v>
      </c>
      <c r="Y47" s="129"/>
      <c r="Z47" s="64">
        <f t="shared" si="12"/>
        <v>1500</v>
      </c>
      <c r="AA47" s="64">
        <f t="shared" ref="AA47" si="81">+H47</f>
        <v>0</v>
      </c>
      <c r="AB47" s="64">
        <f t="shared" ref="AB47" si="82">+I47</f>
        <v>1500</v>
      </c>
      <c r="AC47" s="129"/>
      <c r="AD47" s="64">
        <f t="shared" si="13"/>
        <v>1500</v>
      </c>
      <c r="AE47" s="64">
        <f t="shared" ref="AE47:AE48" si="83">+AA47</f>
        <v>0</v>
      </c>
      <c r="AF47" s="64">
        <f t="shared" ref="AF47:AF48" si="84">+AB47</f>
        <v>1500</v>
      </c>
      <c r="AG47" s="129"/>
      <c r="AH47" s="64">
        <f t="shared" si="14"/>
        <v>1500</v>
      </c>
      <c r="AI47" s="64">
        <f t="shared" ref="AI47:AI48" si="85">+AE47</f>
        <v>0</v>
      </c>
      <c r="AJ47" s="64">
        <f t="shared" ref="AJ47:AJ48" si="86">+AF47</f>
        <v>1500</v>
      </c>
      <c r="AK47" s="129"/>
      <c r="AL47" s="64">
        <f t="shared" si="15"/>
        <v>1500</v>
      </c>
      <c r="AM47" s="64">
        <f t="shared" ref="AM47:AM48" si="87">+AI47</f>
        <v>0</v>
      </c>
      <c r="AN47" s="64">
        <f t="shared" ref="AN47:AN48" si="88">+AJ47</f>
        <v>1500</v>
      </c>
      <c r="AO47" s="165" t="s">
        <v>34</v>
      </c>
    </row>
    <row r="48" spans="1:41" s="1" customFormat="1" ht="13.2" hidden="1" customHeight="1" x14ac:dyDescent="0.25">
      <c r="A48" s="9"/>
      <c r="B48" s="63">
        <f>+'Revenue Input'!B40</f>
        <v>100</v>
      </c>
      <c r="C48" s="63">
        <f>+'Revenue Input'!C40</f>
        <v>3720</v>
      </c>
      <c r="D48" s="83">
        <f>+'Revenue Input'!D40</f>
        <v>0</v>
      </c>
      <c r="E48" s="84">
        <f>+'Revenue Input'!E40</f>
        <v>0</v>
      </c>
      <c r="F48" s="63" t="str">
        <f>+'Revenue Input'!F40</f>
        <v>Proceeds of Long Term Debt</v>
      </c>
      <c r="G48" s="140">
        <f>+'Revenue Input'!O40</f>
        <v>0</v>
      </c>
      <c r="H48" s="140">
        <f>+'Revenue Input'!P40</f>
        <v>0</v>
      </c>
      <c r="I48" s="140">
        <f>+'Revenue Input'!Q40</f>
        <v>0</v>
      </c>
      <c r="J48" s="129" t="str">
        <f t="shared" si="3"/>
        <v/>
      </c>
      <c r="K48" s="129"/>
      <c r="L48" s="129"/>
      <c r="M48" s="129"/>
      <c r="N48" s="130"/>
      <c r="O48" s="136"/>
      <c r="P48" s="136">
        <f t="shared" si="31"/>
        <v>0</v>
      </c>
      <c r="Q48" s="136">
        <f t="shared" si="32"/>
        <v>0</v>
      </c>
      <c r="R48" s="136">
        <f t="shared" si="6"/>
        <v>0</v>
      </c>
      <c r="S48" s="136">
        <f t="shared" si="7"/>
        <v>0</v>
      </c>
      <c r="T48" s="136">
        <f t="shared" si="8"/>
        <v>0</v>
      </c>
      <c r="U48" s="136">
        <f t="shared" si="9"/>
        <v>0</v>
      </c>
      <c r="V48" s="136">
        <f t="shared" si="10"/>
        <v>0</v>
      </c>
      <c r="W48" s="136">
        <f t="shared" si="33"/>
        <v>0</v>
      </c>
      <c r="X48" s="130">
        <f t="shared" si="34"/>
        <v>0</v>
      </c>
      <c r="Y48" s="129"/>
      <c r="Z48" s="64" t="e">
        <f t="shared" si="12"/>
        <v>#REF!</v>
      </c>
      <c r="AA48" s="64" t="e">
        <f>+'Revenue Input'!#REF!</f>
        <v>#REF!</v>
      </c>
      <c r="AB48" s="64" t="e">
        <f>+'Revenue Input'!#REF!</f>
        <v>#REF!</v>
      </c>
      <c r="AC48" s="129"/>
      <c r="AD48" s="64" t="e">
        <f t="shared" si="13"/>
        <v>#REF!</v>
      </c>
      <c r="AE48" s="64" t="e">
        <f t="shared" si="83"/>
        <v>#REF!</v>
      </c>
      <c r="AF48" s="64" t="e">
        <f t="shared" si="84"/>
        <v>#REF!</v>
      </c>
      <c r="AG48" s="129"/>
      <c r="AH48" s="64" t="e">
        <f t="shared" si="14"/>
        <v>#REF!</v>
      </c>
      <c r="AI48" s="64" t="e">
        <f t="shared" si="85"/>
        <v>#REF!</v>
      </c>
      <c r="AJ48" s="64" t="e">
        <f t="shared" si="86"/>
        <v>#REF!</v>
      </c>
      <c r="AK48" s="129"/>
      <c r="AL48" s="64" t="e">
        <f t="shared" si="15"/>
        <v>#REF!</v>
      </c>
      <c r="AM48" s="64" t="e">
        <f t="shared" si="87"/>
        <v>#REF!</v>
      </c>
      <c r="AN48" s="64" t="e">
        <f t="shared" si="88"/>
        <v>#REF!</v>
      </c>
      <c r="AO48" s="165" t="s">
        <v>34</v>
      </c>
    </row>
    <row r="49" spans="1:41" s="1" customFormat="1" ht="13.2" customHeight="1" x14ac:dyDescent="0.25">
      <c r="A49" s="9"/>
      <c r="B49" s="63">
        <f>+'Revenue Input'!B41</f>
        <v>360</v>
      </c>
      <c r="C49" s="63">
        <f>+'Revenue Input'!C41</f>
        <v>3397</v>
      </c>
      <c r="D49" s="83">
        <f>+'Revenue Input'!D41</f>
        <v>0</v>
      </c>
      <c r="E49" s="84">
        <f>+'Revenue Input'!E41</f>
        <v>0</v>
      </c>
      <c r="F49" s="63" t="str">
        <f>+'Revenue Input'!F41</f>
        <v>Charter School Capital Outlay</v>
      </c>
      <c r="G49" s="140">
        <f>+'Revenue Input'!O41</f>
        <v>278250</v>
      </c>
      <c r="H49" s="140">
        <f>+'Revenue Input'!P41</f>
        <v>157500</v>
      </c>
      <c r="I49" s="140">
        <f>+'Revenue Input'!Q41</f>
        <v>120750</v>
      </c>
      <c r="J49" s="129" t="str">
        <f t="shared" si="3"/>
        <v>*</v>
      </c>
      <c r="K49" s="129"/>
      <c r="L49" s="129"/>
      <c r="M49" s="129"/>
      <c r="N49" s="130"/>
      <c r="O49" s="136"/>
      <c r="P49" s="136">
        <f t="shared" si="31"/>
        <v>0</v>
      </c>
      <c r="Q49" s="136">
        <f t="shared" si="32"/>
        <v>0</v>
      </c>
      <c r="R49" s="136">
        <f t="shared" si="6"/>
        <v>0</v>
      </c>
      <c r="S49" s="136">
        <f t="shared" si="7"/>
        <v>0</v>
      </c>
      <c r="T49" s="136">
        <f t="shared" si="8"/>
        <v>0</v>
      </c>
      <c r="U49" s="136">
        <f t="shared" si="9"/>
        <v>0</v>
      </c>
      <c r="V49" s="136">
        <f t="shared" si="10"/>
        <v>120750</v>
      </c>
      <c r="W49" s="136">
        <f t="shared" si="33"/>
        <v>0</v>
      </c>
      <c r="X49" s="130">
        <f t="shared" si="34"/>
        <v>0</v>
      </c>
      <c r="Y49" s="129"/>
      <c r="Z49" s="64">
        <f t="shared" si="12"/>
        <v>341250</v>
      </c>
      <c r="AA49" s="64">
        <f>+H49/H$11*AA$11</f>
        <v>170625</v>
      </c>
      <c r="AB49" s="64">
        <f t="shared" ref="AB49" si="89">+I49/I$11*AB$11</f>
        <v>170625</v>
      </c>
      <c r="AC49" s="129"/>
      <c r="AD49" s="64">
        <f t="shared" si="13"/>
        <v>341250</v>
      </c>
      <c r="AE49" s="64">
        <f t="shared" ref="AE49" si="90">+AA49/AA$11*AE$11</f>
        <v>170625</v>
      </c>
      <c r="AF49" s="64">
        <f t="shared" ref="AF49" si="91">+AB49/AB$11*AF$11</f>
        <v>170625</v>
      </c>
      <c r="AG49" s="129"/>
      <c r="AH49" s="64">
        <f t="shared" si="14"/>
        <v>367500</v>
      </c>
      <c r="AI49" s="64">
        <f t="shared" ref="AI49" si="92">+AE49/AE$11*AI$11</f>
        <v>183750</v>
      </c>
      <c r="AJ49" s="64">
        <f t="shared" ref="AJ49" si="93">+AF49/AF$11*AJ$11</f>
        <v>183750</v>
      </c>
      <c r="AK49" s="129"/>
      <c r="AL49" s="64">
        <f t="shared" si="15"/>
        <v>367500</v>
      </c>
      <c r="AM49" s="64">
        <f t="shared" ref="AM49" si="94">+AI49/AI$11*AM$11</f>
        <v>183750</v>
      </c>
      <c r="AN49" s="64">
        <f t="shared" ref="AN49" si="95">+AJ49/AJ$11*AN$11</f>
        <v>183750</v>
      </c>
      <c r="AO49" s="165" t="s">
        <v>33</v>
      </c>
    </row>
    <row r="50" spans="1:41" s="1" customFormat="1" ht="13.2" customHeight="1" x14ac:dyDescent="0.25">
      <c r="A50" s="9"/>
      <c r="B50" s="63">
        <f>+'Revenue Input'!B42</f>
        <v>410</v>
      </c>
      <c r="C50" s="63">
        <f>+'Revenue Input'!C42</f>
        <v>3261</v>
      </c>
      <c r="D50" s="83">
        <f>+'Revenue Input'!D42</f>
        <v>0</v>
      </c>
      <c r="E50" s="84">
        <f>+'Revenue Input'!E42</f>
        <v>0</v>
      </c>
      <c r="F50" s="63" t="str">
        <f>+'Revenue Input'!F42</f>
        <v>School Lunch Reimbursement</v>
      </c>
      <c r="G50" s="140">
        <f>+'Revenue Input'!O42</f>
        <v>249190.95172328496</v>
      </c>
      <c r="H50" s="140">
        <f>+'Revenue Input'!P42</f>
        <v>0</v>
      </c>
      <c r="I50" s="140">
        <f>+'Revenue Input'!Q42</f>
        <v>249190.95172328496</v>
      </c>
      <c r="J50" s="129" t="str">
        <f t="shared" si="3"/>
        <v>*</v>
      </c>
      <c r="K50" s="129"/>
      <c r="L50" s="129"/>
      <c r="M50" s="129"/>
      <c r="N50" s="130"/>
      <c r="O50" s="136"/>
      <c r="P50" s="136">
        <f t="shared" si="31"/>
        <v>0</v>
      </c>
      <c r="Q50" s="136">
        <f t="shared" si="32"/>
        <v>0</v>
      </c>
      <c r="R50" s="136">
        <f t="shared" si="6"/>
        <v>0</v>
      </c>
      <c r="S50" s="136">
        <f t="shared" si="7"/>
        <v>0</v>
      </c>
      <c r="T50" s="136">
        <f t="shared" si="8"/>
        <v>0</v>
      </c>
      <c r="U50" s="136">
        <f t="shared" si="9"/>
        <v>0</v>
      </c>
      <c r="V50" s="136">
        <f t="shared" si="10"/>
        <v>0</v>
      </c>
      <c r="W50" s="136">
        <f t="shared" si="33"/>
        <v>249190.95172328496</v>
      </c>
      <c r="X50" s="130">
        <f t="shared" si="34"/>
        <v>249190.95172328496</v>
      </c>
      <c r="Y50" s="129"/>
      <c r="Z50" s="64">
        <f t="shared" si="12"/>
        <v>0</v>
      </c>
      <c r="AA50" s="64">
        <v>0</v>
      </c>
      <c r="AB50" s="64">
        <v>0</v>
      </c>
      <c r="AC50" s="129"/>
      <c r="AD50" s="64">
        <f t="shared" si="13"/>
        <v>0</v>
      </c>
      <c r="AE50" s="64">
        <v>0</v>
      </c>
      <c r="AF50" s="64">
        <v>0</v>
      </c>
      <c r="AG50" s="129"/>
      <c r="AH50" s="64">
        <f t="shared" si="14"/>
        <v>0</v>
      </c>
      <c r="AI50" s="64">
        <v>0</v>
      </c>
      <c r="AJ50" s="64">
        <v>0</v>
      </c>
      <c r="AK50" s="129"/>
      <c r="AL50" s="64">
        <f t="shared" si="15"/>
        <v>0</v>
      </c>
      <c r="AM50" s="64">
        <v>0</v>
      </c>
      <c r="AN50" s="64">
        <v>0</v>
      </c>
      <c r="AO50" s="165" t="s">
        <v>32</v>
      </c>
    </row>
    <row r="51" spans="1:41" s="1" customFormat="1" ht="13.2" customHeight="1" x14ac:dyDescent="0.25">
      <c r="A51" s="9"/>
      <c r="B51" s="63">
        <f>+'Revenue Input'!B43</f>
        <v>410</v>
      </c>
      <c r="C51" s="63">
        <f>+'Revenue Input'!C43</f>
        <v>3262</v>
      </c>
      <c r="D51" s="83">
        <f>+'Revenue Input'!D43</f>
        <v>0</v>
      </c>
      <c r="E51" s="84">
        <f>+'Revenue Input'!E43</f>
        <v>0</v>
      </c>
      <c r="F51" s="63" t="str">
        <f>+'Revenue Input'!F43</f>
        <v>School Breakfast Reimbursement</v>
      </c>
      <c r="G51" s="140">
        <f>+'Revenue Input'!O43</f>
        <v>55202.794291446786</v>
      </c>
      <c r="H51" s="140">
        <f>+'Revenue Input'!P43</f>
        <v>0</v>
      </c>
      <c r="I51" s="140">
        <f>+'Revenue Input'!Q43</f>
        <v>55202.794291446786</v>
      </c>
      <c r="J51" s="129" t="str">
        <f t="shared" si="3"/>
        <v>*</v>
      </c>
      <c r="K51" s="129"/>
      <c r="L51" s="129"/>
      <c r="M51" s="129"/>
      <c r="N51" s="130"/>
      <c r="O51" s="136"/>
      <c r="P51" s="136">
        <f t="shared" si="31"/>
        <v>0</v>
      </c>
      <c r="Q51" s="136">
        <f t="shared" si="32"/>
        <v>0</v>
      </c>
      <c r="R51" s="136">
        <f t="shared" si="6"/>
        <v>0</v>
      </c>
      <c r="S51" s="136">
        <f t="shared" si="7"/>
        <v>0</v>
      </c>
      <c r="T51" s="136">
        <f t="shared" si="8"/>
        <v>0</v>
      </c>
      <c r="U51" s="136">
        <f t="shared" si="9"/>
        <v>0</v>
      </c>
      <c r="V51" s="136">
        <f t="shared" si="10"/>
        <v>0</v>
      </c>
      <c r="W51" s="136">
        <f t="shared" si="33"/>
        <v>55202.794291446786</v>
      </c>
      <c r="X51" s="130">
        <f t="shared" si="34"/>
        <v>55202.794291446786</v>
      </c>
      <c r="Y51" s="129"/>
      <c r="Z51" s="64">
        <f t="shared" si="12"/>
        <v>0</v>
      </c>
      <c r="AA51" s="64">
        <v>0</v>
      </c>
      <c r="AB51" s="64">
        <v>0</v>
      </c>
      <c r="AC51" s="129"/>
      <c r="AD51" s="64">
        <f t="shared" si="13"/>
        <v>0</v>
      </c>
      <c r="AE51" s="64">
        <v>0</v>
      </c>
      <c r="AF51" s="64">
        <v>0</v>
      </c>
      <c r="AG51" s="129"/>
      <c r="AH51" s="64">
        <f t="shared" si="14"/>
        <v>0</v>
      </c>
      <c r="AI51" s="64">
        <v>0</v>
      </c>
      <c r="AJ51" s="64">
        <v>0</v>
      </c>
      <c r="AK51" s="129"/>
      <c r="AL51" s="64">
        <f t="shared" si="15"/>
        <v>0</v>
      </c>
      <c r="AM51" s="64">
        <v>0</v>
      </c>
      <c r="AN51" s="64">
        <v>0</v>
      </c>
      <c r="AO51" s="165" t="s">
        <v>32</v>
      </c>
    </row>
    <row r="52" spans="1:41" s="1" customFormat="1" ht="13.2" customHeight="1" x14ac:dyDescent="0.25">
      <c r="A52" s="9"/>
      <c r="B52" s="63">
        <f>+'Revenue Input'!B44</f>
        <v>410</v>
      </c>
      <c r="C52" s="63">
        <f>+'Revenue Input'!C44</f>
        <v>3263</v>
      </c>
      <c r="D52" s="83">
        <f>+'Revenue Input'!D44</f>
        <v>0</v>
      </c>
      <c r="E52" s="84">
        <f>+'Revenue Input'!E44</f>
        <v>0</v>
      </c>
      <c r="F52" s="63" t="str">
        <f>+'Revenue Input'!F44</f>
        <v>Afterschool Snack Reimbursement</v>
      </c>
      <c r="G52" s="140">
        <f>+'Revenue Input'!O44</f>
        <v>7206.5811895338611</v>
      </c>
      <c r="H52" s="140">
        <f>+'Revenue Input'!P44</f>
        <v>0</v>
      </c>
      <c r="I52" s="140">
        <f>+'Revenue Input'!Q44</f>
        <v>7206.5811895338611</v>
      </c>
      <c r="J52" s="129" t="str">
        <f t="shared" si="3"/>
        <v>*</v>
      </c>
      <c r="K52" s="129"/>
      <c r="L52" s="129"/>
      <c r="M52" s="129"/>
      <c r="N52" s="130"/>
      <c r="O52" s="136"/>
      <c r="P52" s="136">
        <f t="shared" si="31"/>
        <v>0</v>
      </c>
      <c r="Q52" s="136">
        <f t="shared" si="32"/>
        <v>0</v>
      </c>
      <c r="R52" s="136">
        <f t="shared" si="6"/>
        <v>0</v>
      </c>
      <c r="S52" s="136">
        <f t="shared" si="7"/>
        <v>0</v>
      </c>
      <c r="T52" s="136">
        <f t="shared" si="8"/>
        <v>0</v>
      </c>
      <c r="U52" s="136">
        <f t="shared" si="9"/>
        <v>0</v>
      </c>
      <c r="V52" s="136">
        <f t="shared" si="10"/>
        <v>0</v>
      </c>
      <c r="W52" s="136">
        <f t="shared" si="33"/>
        <v>7206.5811895338611</v>
      </c>
      <c r="X52" s="130">
        <f t="shared" si="34"/>
        <v>7206.5811895338611</v>
      </c>
      <c r="Y52" s="129"/>
      <c r="Z52" s="64">
        <f t="shared" si="12"/>
        <v>10183.212550428281</v>
      </c>
      <c r="AA52" s="64">
        <f t="shared" ref="AA52:AA59" si="96">+H52/H$11*AA$11</f>
        <v>0</v>
      </c>
      <c r="AB52" s="64">
        <f t="shared" ref="AB52:AB59" si="97">+I52/I$11*AB$11</f>
        <v>10183.212550428281</v>
      </c>
      <c r="AC52" s="129"/>
      <c r="AD52" s="64">
        <f t="shared" si="13"/>
        <v>10183.212550428281</v>
      </c>
      <c r="AE52" s="64">
        <f t="shared" ref="AE52" si="98">+AA52/AA$11*AE$11</f>
        <v>0</v>
      </c>
      <c r="AF52" s="64">
        <f t="shared" ref="AF52" si="99">+AB52/AB$11*AF$11</f>
        <v>10183.212550428281</v>
      </c>
      <c r="AG52" s="129"/>
      <c r="AH52" s="64">
        <f t="shared" si="14"/>
        <v>10966.536592768918</v>
      </c>
      <c r="AI52" s="64">
        <f t="shared" ref="AI52:AI59" si="100">+AE52/AE$11*AI$11</f>
        <v>0</v>
      </c>
      <c r="AJ52" s="64">
        <f t="shared" ref="AJ52:AJ59" si="101">+AF52/AF$11*AJ$11</f>
        <v>10966.536592768918</v>
      </c>
      <c r="AK52" s="129"/>
      <c r="AL52" s="64">
        <f t="shared" si="15"/>
        <v>10966.536592768918</v>
      </c>
      <c r="AM52" s="64">
        <f t="shared" ref="AM52:AM59" si="102">+AI52/AI$11*AM$11</f>
        <v>0</v>
      </c>
      <c r="AN52" s="64">
        <f t="shared" ref="AN52:AN59" si="103">+AJ52/AJ$11*AN$11</f>
        <v>10966.536592768918</v>
      </c>
      <c r="AO52" s="165" t="s">
        <v>33</v>
      </c>
    </row>
    <row r="53" spans="1:41" s="1" customFormat="1" ht="13.2" hidden="1" customHeight="1" x14ac:dyDescent="0.25">
      <c r="A53" s="9"/>
      <c r="B53" s="63">
        <f>+'Revenue Input'!B45</f>
        <v>410</v>
      </c>
      <c r="C53" s="63">
        <f>+'Revenue Input'!C45</f>
        <v>3269</v>
      </c>
      <c r="D53" s="83">
        <f>+'Revenue Input'!D45</f>
        <v>0</v>
      </c>
      <c r="E53" s="84">
        <f>+'Revenue Input'!E45</f>
        <v>0</v>
      </c>
      <c r="F53" s="63" t="str">
        <f>+'Revenue Input'!F45</f>
        <v>Food Service Grant</v>
      </c>
      <c r="G53" s="140">
        <f>+'Revenue Input'!O45</f>
        <v>0</v>
      </c>
      <c r="H53" s="140">
        <f>+'Revenue Input'!P45</f>
        <v>0</v>
      </c>
      <c r="I53" s="140">
        <f>+'Revenue Input'!Q45</f>
        <v>0</v>
      </c>
      <c r="J53" s="129" t="str">
        <f t="shared" si="3"/>
        <v/>
      </c>
      <c r="K53" s="129"/>
      <c r="L53" s="129"/>
      <c r="M53" s="129"/>
      <c r="N53" s="130"/>
      <c r="O53" s="136"/>
      <c r="P53" s="136">
        <f t="shared" si="31"/>
        <v>0</v>
      </c>
      <c r="Q53" s="136">
        <f t="shared" si="32"/>
        <v>0</v>
      </c>
      <c r="R53" s="136">
        <f t="shared" si="6"/>
        <v>0</v>
      </c>
      <c r="S53" s="136">
        <f t="shared" si="7"/>
        <v>0</v>
      </c>
      <c r="T53" s="136">
        <f t="shared" si="8"/>
        <v>0</v>
      </c>
      <c r="U53" s="136">
        <f t="shared" si="9"/>
        <v>0</v>
      </c>
      <c r="V53" s="136">
        <f t="shared" si="10"/>
        <v>0</v>
      </c>
      <c r="W53" s="136">
        <f t="shared" si="33"/>
        <v>0</v>
      </c>
      <c r="X53" s="130">
        <f t="shared" si="34"/>
        <v>0</v>
      </c>
      <c r="Y53" s="129"/>
      <c r="Z53" s="64">
        <f t="shared" si="12"/>
        <v>0</v>
      </c>
      <c r="AA53" s="64">
        <f t="shared" si="96"/>
        <v>0</v>
      </c>
      <c r="AB53" s="64">
        <f t="shared" si="97"/>
        <v>0</v>
      </c>
      <c r="AC53" s="129"/>
      <c r="AD53" s="64">
        <f t="shared" si="13"/>
        <v>0</v>
      </c>
      <c r="AE53" s="64">
        <f t="shared" ref="AE53:AE59" si="104">+AA53/AA$11*AE$11</f>
        <v>0</v>
      </c>
      <c r="AF53" s="64">
        <f t="shared" ref="AF53:AF59" si="105">+AB53/AB$11*AF$11</f>
        <v>0</v>
      </c>
      <c r="AG53" s="129"/>
      <c r="AH53" s="64">
        <f t="shared" si="14"/>
        <v>0</v>
      </c>
      <c r="AI53" s="64">
        <f t="shared" si="100"/>
        <v>0</v>
      </c>
      <c r="AJ53" s="64">
        <f t="shared" si="101"/>
        <v>0</v>
      </c>
      <c r="AK53" s="129"/>
      <c r="AL53" s="64">
        <f t="shared" si="15"/>
        <v>0</v>
      </c>
      <c r="AM53" s="64">
        <f t="shared" si="102"/>
        <v>0</v>
      </c>
      <c r="AN53" s="64">
        <f t="shared" si="103"/>
        <v>0</v>
      </c>
      <c r="AO53" s="165" t="s">
        <v>33</v>
      </c>
    </row>
    <row r="54" spans="1:41" s="1" customFormat="1" ht="13.2" customHeight="1" x14ac:dyDescent="0.25">
      <c r="A54" s="9"/>
      <c r="B54" s="63">
        <f>+'Revenue Input'!B46</f>
        <v>410</v>
      </c>
      <c r="C54" s="63">
        <f>+'Revenue Input'!C46</f>
        <v>3451</v>
      </c>
      <c r="D54" s="83">
        <f>+'Revenue Input'!D46</f>
        <v>0</v>
      </c>
      <c r="E54" s="84">
        <f>+'Revenue Input'!E46</f>
        <v>0</v>
      </c>
      <c r="F54" s="63" t="str">
        <f>+'Revenue Input'!F46</f>
        <v>School Lunch Revenue</v>
      </c>
      <c r="G54" s="140">
        <f>+'Revenue Input'!O46</f>
        <v>25624.525478232186</v>
      </c>
      <c r="H54" s="140">
        <f>+'Revenue Input'!P46</f>
        <v>0</v>
      </c>
      <c r="I54" s="140">
        <f>+'Revenue Input'!Q46</f>
        <v>25624.525478232186</v>
      </c>
      <c r="J54" s="129" t="str">
        <f t="shared" si="3"/>
        <v>*</v>
      </c>
      <c r="K54" s="129"/>
      <c r="L54" s="129"/>
      <c r="M54" s="129"/>
      <c r="N54" s="130"/>
      <c r="O54" s="136"/>
      <c r="P54" s="136">
        <f t="shared" si="31"/>
        <v>0</v>
      </c>
      <c r="Q54" s="136">
        <f t="shared" si="32"/>
        <v>0</v>
      </c>
      <c r="R54" s="136">
        <f t="shared" si="6"/>
        <v>0</v>
      </c>
      <c r="S54" s="136">
        <f t="shared" si="7"/>
        <v>0</v>
      </c>
      <c r="T54" s="136">
        <f t="shared" si="8"/>
        <v>0</v>
      </c>
      <c r="U54" s="136">
        <f t="shared" si="9"/>
        <v>0</v>
      </c>
      <c r="V54" s="136">
        <f t="shared" si="10"/>
        <v>0</v>
      </c>
      <c r="W54" s="136">
        <f t="shared" si="33"/>
        <v>25624.525478232186</v>
      </c>
      <c r="X54" s="130">
        <f t="shared" si="34"/>
        <v>25624.525478232186</v>
      </c>
      <c r="Y54" s="129"/>
      <c r="Z54" s="64">
        <f t="shared" si="12"/>
        <v>36208.568610545481</v>
      </c>
      <c r="AA54" s="64">
        <f t="shared" si="96"/>
        <v>0</v>
      </c>
      <c r="AB54" s="64">
        <f t="shared" si="97"/>
        <v>36208.568610545481</v>
      </c>
      <c r="AC54" s="129"/>
      <c r="AD54" s="64">
        <f t="shared" si="13"/>
        <v>36208.568610545481</v>
      </c>
      <c r="AE54" s="64">
        <f t="shared" si="104"/>
        <v>0</v>
      </c>
      <c r="AF54" s="64">
        <f t="shared" si="105"/>
        <v>36208.568610545481</v>
      </c>
      <c r="AG54" s="129"/>
      <c r="AH54" s="64">
        <f t="shared" si="14"/>
        <v>38993.843119048979</v>
      </c>
      <c r="AI54" s="64">
        <f t="shared" si="100"/>
        <v>0</v>
      </c>
      <c r="AJ54" s="64">
        <f t="shared" si="101"/>
        <v>38993.843119048979</v>
      </c>
      <c r="AK54" s="129"/>
      <c r="AL54" s="64">
        <f t="shared" si="15"/>
        <v>38993.843119048979</v>
      </c>
      <c r="AM54" s="64">
        <f t="shared" si="102"/>
        <v>0</v>
      </c>
      <c r="AN54" s="64">
        <f t="shared" si="103"/>
        <v>38993.843119048979</v>
      </c>
      <c r="AO54" s="165" t="s">
        <v>33</v>
      </c>
    </row>
    <row r="55" spans="1:41" s="1" customFormat="1" ht="13.2" hidden="1" customHeight="1" x14ac:dyDescent="0.25">
      <c r="A55" s="9"/>
      <c r="B55" s="63">
        <f>+'Revenue Input'!B47</f>
        <v>410</v>
      </c>
      <c r="C55" s="63">
        <f>+'Revenue Input'!C47</f>
        <v>3452</v>
      </c>
      <c r="D55" s="83">
        <f>+'Revenue Input'!D47</f>
        <v>0</v>
      </c>
      <c r="E55" s="84">
        <f>+'Revenue Input'!E47</f>
        <v>0</v>
      </c>
      <c r="F55" s="63" t="str">
        <f>+'Revenue Input'!F47</f>
        <v xml:space="preserve">Non Programmed Food </v>
      </c>
      <c r="G55" s="140">
        <f>+'Revenue Input'!O47</f>
        <v>0</v>
      </c>
      <c r="H55" s="140">
        <f>+'Revenue Input'!P47</f>
        <v>0</v>
      </c>
      <c r="I55" s="140">
        <f>+'Revenue Input'!Q47</f>
        <v>0</v>
      </c>
      <c r="J55" s="129" t="str">
        <f t="shared" si="3"/>
        <v/>
      </c>
      <c r="K55" s="129"/>
      <c r="L55" s="129"/>
      <c r="M55" s="129"/>
      <c r="N55" s="130"/>
      <c r="O55" s="136"/>
      <c r="P55" s="136">
        <f t="shared" si="31"/>
        <v>0</v>
      </c>
      <c r="Q55" s="136">
        <f t="shared" si="32"/>
        <v>0</v>
      </c>
      <c r="R55" s="136">
        <f t="shared" si="6"/>
        <v>0</v>
      </c>
      <c r="S55" s="136">
        <f t="shared" si="7"/>
        <v>0</v>
      </c>
      <c r="T55" s="136">
        <f t="shared" si="8"/>
        <v>0</v>
      </c>
      <c r="U55" s="136">
        <f t="shared" si="9"/>
        <v>0</v>
      </c>
      <c r="V55" s="136">
        <f t="shared" si="10"/>
        <v>0</v>
      </c>
      <c r="W55" s="136">
        <f t="shared" si="33"/>
        <v>0</v>
      </c>
      <c r="X55" s="130">
        <f t="shared" si="34"/>
        <v>0</v>
      </c>
      <c r="Y55" s="129"/>
      <c r="Z55" s="64">
        <f t="shared" si="12"/>
        <v>0</v>
      </c>
      <c r="AA55" s="64">
        <f t="shared" si="96"/>
        <v>0</v>
      </c>
      <c r="AB55" s="64">
        <f t="shared" si="97"/>
        <v>0</v>
      </c>
      <c r="AC55" s="129"/>
      <c r="AD55" s="64">
        <f t="shared" si="13"/>
        <v>0</v>
      </c>
      <c r="AE55" s="64">
        <f t="shared" si="104"/>
        <v>0</v>
      </c>
      <c r="AF55" s="64">
        <f t="shared" si="105"/>
        <v>0</v>
      </c>
      <c r="AG55" s="129"/>
      <c r="AH55" s="64">
        <f t="shared" si="14"/>
        <v>0</v>
      </c>
      <c r="AI55" s="64">
        <f t="shared" si="100"/>
        <v>0</v>
      </c>
      <c r="AJ55" s="64">
        <f t="shared" si="101"/>
        <v>0</v>
      </c>
      <c r="AK55" s="129"/>
      <c r="AL55" s="64">
        <f t="shared" si="15"/>
        <v>0</v>
      </c>
      <c r="AM55" s="64">
        <f t="shared" si="102"/>
        <v>0</v>
      </c>
      <c r="AN55" s="64">
        <f t="shared" si="103"/>
        <v>0</v>
      </c>
      <c r="AO55" s="165" t="s">
        <v>33</v>
      </c>
    </row>
    <row r="56" spans="1:41" s="1" customFormat="1" ht="13.2" hidden="1" customHeight="1" x14ac:dyDescent="0.25">
      <c r="A56" s="9"/>
      <c r="B56" s="63">
        <f>+'Revenue Input'!B48</f>
        <v>410</v>
      </c>
      <c r="C56" s="63">
        <f>+'Revenue Input'!C48</f>
        <v>3455</v>
      </c>
      <c r="D56" s="83">
        <f>+'Revenue Input'!D48</f>
        <v>0</v>
      </c>
      <c r="E56" s="84">
        <f>+'Revenue Input'!E48</f>
        <v>0</v>
      </c>
      <c r="F56" s="63" t="str">
        <f>+'Revenue Input'!F48</f>
        <v>Lunchroom Reimbursement</v>
      </c>
      <c r="G56" s="140">
        <f>+'Revenue Input'!O48</f>
        <v>0</v>
      </c>
      <c r="H56" s="140">
        <f>+'Revenue Input'!P48</f>
        <v>0</v>
      </c>
      <c r="I56" s="140">
        <f>+'Revenue Input'!Q48</f>
        <v>0</v>
      </c>
      <c r="J56" s="129" t="str">
        <f t="shared" si="3"/>
        <v/>
      </c>
      <c r="K56" s="129"/>
      <c r="L56" s="129"/>
      <c r="M56" s="129"/>
      <c r="N56" s="130"/>
      <c r="O56" s="136"/>
      <c r="P56" s="136">
        <f t="shared" ref="P56:P78" si="106">IF(B56=490,G56,0)</f>
        <v>0</v>
      </c>
      <c r="Q56" s="136">
        <f t="shared" ref="Q56:Q78" si="107">IF(B56=410,H56,0)</f>
        <v>0</v>
      </c>
      <c r="R56" s="136">
        <f t="shared" si="6"/>
        <v>0</v>
      </c>
      <c r="S56" s="136">
        <f t="shared" si="7"/>
        <v>0</v>
      </c>
      <c r="T56" s="136">
        <f t="shared" si="8"/>
        <v>0</v>
      </c>
      <c r="U56" s="136">
        <f t="shared" si="9"/>
        <v>0</v>
      </c>
      <c r="V56" s="136">
        <f t="shared" si="10"/>
        <v>0</v>
      </c>
      <c r="W56" s="136">
        <f t="shared" ref="W56:W78" si="108">IF(B56=410,I56,0)</f>
        <v>0</v>
      </c>
      <c r="X56" s="130">
        <f t="shared" si="34"/>
        <v>0</v>
      </c>
      <c r="Y56" s="129"/>
      <c r="Z56" s="64">
        <f t="shared" si="12"/>
        <v>0</v>
      </c>
      <c r="AA56" s="64">
        <f t="shared" si="96"/>
        <v>0</v>
      </c>
      <c r="AB56" s="64">
        <f t="shared" si="97"/>
        <v>0</v>
      </c>
      <c r="AC56" s="129"/>
      <c r="AD56" s="64">
        <f t="shared" si="13"/>
        <v>0</v>
      </c>
      <c r="AE56" s="64">
        <f t="shared" si="104"/>
        <v>0</v>
      </c>
      <c r="AF56" s="64">
        <f t="shared" si="105"/>
        <v>0</v>
      </c>
      <c r="AG56" s="129"/>
      <c r="AH56" s="64">
        <f t="shared" si="14"/>
        <v>0</v>
      </c>
      <c r="AI56" s="64">
        <f t="shared" si="100"/>
        <v>0</v>
      </c>
      <c r="AJ56" s="64">
        <f t="shared" si="101"/>
        <v>0</v>
      </c>
      <c r="AK56" s="129"/>
      <c r="AL56" s="64">
        <f t="shared" si="15"/>
        <v>0</v>
      </c>
      <c r="AM56" s="64">
        <f t="shared" si="102"/>
        <v>0</v>
      </c>
      <c r="AN56" s="64">
        <f t="shared" si="103"/>
        <v>0</v>
      </c>
      <c r="AO56" s="165" t="s">
        <v>33</v>
      </c>
    </row>
    <row r="57" spans="1:41" s="129" customFormat="1" ht="13.2" customHeight="1" x14ac:dyDescent="0.25">
      <c r="A57" s="9"/>
      <c r="B57" s="63">
        <f>+'Revenue Input'!B49</f>
        <v>432</v>
      </c>
      <c r="C57" s="63">
        <f>+'Revenue Input'!C49</f>
        <v>3240</v>
      </c>
      <c r="D57" s="83">
        <f>+'Revenue Input'!D49</f>
        <v>0</v>
      </c>
      <c r="E57" s="84">
        <f>+'Revenue Input'!E49</f>
        <v>0</v>
      </c>
      <c r="F57" s="63" t="str">
        <f>+'Revenue Input'!F49</f>
        <v>Title I</v>
      </c>
      <c r="G57" s="140">
        <f>+'Revenue Input'!O49</f>
        <v>285354</v>
      </c>
      <c r="H57" s="140">
        <f>+'Revenue Input'!P49</f>
        <v>186813</v>
      </c>
      <c r="I57" s="140">
        <f>+'Revenue Input'!Q49</f>
        <v>98541</v>
      </c>
      <c r="J57" s="129" t="str">
        <f t="shared" ref="J57" si="109">IF(G57&gt;0.49,"*","")</f>
        <v>*</v>
      </c>
      <c r="N57" s="130"/>
      <c r="O57" s="136"/>
      <c r="P57" s="136">
        <f t="shared" ref="P57" si="110">IF(B57=490,G57,0)</f>
        <v>0</v>
      </c>
      <c r="Q57" s="136">
        <f t="shared" ref="Q57" si="111">IF(B57=410,H57,0)</f>
        <v>0</v>
      </c>
      <c r="R57" s="136">
        <f t="shared" ref="R57" si="112">IF(B57=432,H57,0)</f>
        <v>186813</v>
      </c>
      <c r="S57" s="136">
        <f t="shared" ref="S57" si="113">IF(B57=432,I57,0)</f>
        <v>98541</v>
      </c>
      <c r="T57" s="136">
        <f t="shared" si="8"/>
        <v>0</v>
      </c>
      <c r="U57" s="136">
        <f t="shared" si="9"/>
        <v>0</v>
      </c>
      <c r="V57" s="136">
        <f t="shared" ref="V57" si="114">IF(B57=360,I57,0)</f>
        <v>0</v>
      </c>
      <c r="W57" s="136">
        <f t="shared" ref="W57" si="115">IF(B57=410,I57,0)</f>
        <v>0</v>
      </c>
      <c r="X57" s="130">
        <f t="shared" ref="X57" si="116">+W57+Q57-O57</f>
        <v>0</v>
      </c>
      <c r="Z57" s="64">
        <f t="shared" si="12"/>
        <v>341623.46739130432</v>
      </c>
      <c r="AA57" s="64">
        <f t="shared" si="96"/>
        <v>202380.75</v>
      </c>
      <c r="AB57" s="64">
        <f t="shared" si="97"/>
        <v>139242.71739130435</v>
      </c>
      <c r="AD57" s="64">
        <f t="shared" si="13"/>
        <v>341623.46739130432</v>
      </c>
      <c r="AE57" s="64">
        <f t="shared" si="104"/>
        <v>202380.75</v>
      </c>
      <c r="AF57" s="64">
        <f t="shared" si="105"/>
        <v>139242.71739130435</v>
      </c>
      <c r="AH57" s="64">
        <f t="shared" si="14"/>
        <v>367902.19565217395</v>
      </c>
      <c r="AI57" s="64">
        <f t="shared" si="100"/>
        <v>217948.5</v>
      </c>
      <c r="AJ57" s="64">
        <f t="shared" si="101"/>
        <v>149953.69565217392</v>
      </c>
      <c r="AL57" s="64">
        <f t="shared" si="15"/>
        <v>367902.19565217395</v>
      </c>
      <c r="AM57" s="64">
        <f t="shared" si="102"/>
        <v>217948.5</v>
      </c>
      <c r="AN57" s="64">
        <f t="shared" si="103"/>
        <v>149953.69565217392</v>
      </c>
      <c r="AO57" s="165" t="s">
        <v>33</v>
      </c>
    </row>
    <row r="58" spans="1:41" s="129" customFormat="1" ht="13.2" hidden="1" customHeight="1" x14ac:dyDescent="0.25">
      <c r="A58" s="9"/>
      <c r="B58" s="63">
        <f>+'Revenue Input'!B50</f>
        <v>432</v>
      </c>
      <c r="C58" s="63">
        <f>+'Revenue Input'!C50</f>
        <v>3241</v>
      </c>
      <c r="D58" s="83">
        <f>+'Revenue Input'!D50</f>
        <v>0</v>
      </c>
      <c r="E58" s="84">
        <f>+'Revenue Input'!E50</f>
        <v>0</v>
      </c>
      <c r="F58" s="63" t="str">
        <f>+'Revenue Input'!F50</f>
        <v>Title II</v>
      </c>
      <c r="G58" s="140">
        <f>+'Revenue Input'!O50</f>
        <v>0</v>
      </c>
      <c r="H58" s="140">
        <f>+'Revenue Input'!P50</f>
        <v>0</v>
      </c>
      <c r="I58" s="140">
        <f>+'Revenue Input'!Q50</f>
        <v>0</v>
      </c>
      <c r="J58" s="129" t="str">
        <f t="shared" ref="J58" si="117">IF(G58&gt;0.49,"*","")</f>
        <v/>
      </c>
      <c r="N58" s="130"/>
      <c r="O58" s="136"/>
      <c r="P58" s="136">
        <f t="shared" ref="P58" si="118">IF(B58=490,G58,0)</f>
        <v>0</v>
      </c>
      <c r="Q58" s="136">
        <f t="shared" ref="Q58" si="119">IF(B58=410,H58,0)</f>
        <v>0</v>
      </c>
      <c r="R58" s="136">
        <f t="shared" ref="R58" si="120">IF(B58=432,H58,0)</f>
        <v>0</v>
      </c>
      <c r="S58" s="136">
        <f t="shared" ref="S58" si="121">IF(B58=432,I58,0)</f>
        <v>0</v>
      </c>
      <c r="T58" s="136">
        <f t="shared" ref="T58" si="122">IF($B58=435,H58,0)</f>
        <v>0</v>
      </c>
      <c r="U58" s="136">
        <f t="shared" ref="U58" si="123">IF($B58=435,I58,0)</f>
        <v>0</v>
      </c>
      <c r="V58" s="136">
        <f t="shared" ref="V58" si="124">IF(B58=360,I58,0)</f>
        <v>0</v>
      </c>
      <c r="W58" s="136">
        <f t="shared" ref="W58" si="125">IF(B58=410,I58,0)</f>
        <v>0</v>
      </c>
      <c r="X58" s="130">
        <f t="shared" ref="X58" si="126">+W58+Q58-O58</f>
        <v>0</v>
      </c>
      <c r="Z58" s="64">
        <f t="shared" ref="Z58" si="127">AA58+AB58</f>
        <v>0</v>
      </c>
      <c r="AA58" s="64">
        <f t="shared" ref="AA58" si="128">+H58/H$11*AA$11</f>
        <v>0</v>
      </c>
      <c r="AB58" s="64">
        <f t="shared" ref="AB58" si="129">+I58/I$11*AB$11</f>
        <v>0</v>
      </c>
      <c r="AD58" s="64">
        <f t="shared" ref="AD58" si="130">AE58+AF58</f>
        <v>0</v>
      </c>
      <c r="AE58" s="64">
        <f t="shared" ref="AE58" si="131">+AA58/AA$11*AE$11</f>
        <v>0</v>
      </c>
      <c r="AF58" s="64">
        <f t="shared" ref="AF58" si="132">+AB58/AB$11*AF$11</f>
        <v>0</v>
      </c>
      <c r="AH58" s="64">
        <f t="shared" ref="AH58" si="133">AI58+AJ58</f>
        <v>0</v>
      </c>
      <c r="AI58" s="64">
        <f t="shared" ref="AI58" si="134">+AE58/AE$11*AI$11</f>
        <v>0</v>
      </c>
      <c r="AJ58" s="64">
        <f t="shared" ref="AJ58" si="135">+AF58/AF$11*AJ$11</f>
        <v>0</v>
      </c>
      <c r="AL58" s="64">
        <f t="shared" ref="AL58" si="136">AM58+AN58</f>
        <v>0</v>
      </c>
      <c r="AM58" s="64">
        <f t="shared" ref="AM58" si="137">+AI58/AI$11*AM$11</f>
        <v>0</v>
      </c>
      <c r="AN58" s="64">
        <f t="shared" ref="AN58" si="138">+AJ58/AJ$11*AN$11</f>
        <v>0</v>
      </c>
      <c r="AO58" s="165" t="s">
        <v>33</v>
      </c>
    </row>
    <row r="59" spans="1:41" s="1" customFormat="1" ht="13.2" hidden="1" customHeight="1" x14ac:dyDescent="0.25">
      <c r="A59" s="9"/>
      <c r="B59" s="63">
        <f>+'Revenue Input'!B51</f>
        <v>435</v>
      </c>
      <c r="C59" s="63">
        <f>+'Revenue Input'!C51</f>
        <v>3200</v>
      </c>
      <c r="D59" s="83">
        <f>+'Revenue Input'!D51</f>
        <v>1</v>
      </c>
      <c r="E59" s="84">
        <f>+'Revenue Input'!E51</f>
        <v>0</v>
      </c>
      <c r="F59" s="63" t="str">
        <f>+'Revenue Input'!F51</f>
        <v xml:space="preserve">ESSER </v>
      </c>
      <c r="G59" s="140">
        <f>+'Revenue Input'!O51</f>
        <v>0</v>
      </c>
      <c r="H59" s="140">
        <f>+'Revenue Input'!P51</f>
        <v>0</v>
      </c>
      <c r="I59" s="140">
        <f>+'Revenue Input'!Q51</f>
        <v>0</v>
      </c>
      <c r="J59" s="129" t="str">
        <f t="shared" si="3"/>
        <v/>
      </c>
      <c r="K59" s="129"/>
      <c r="L59" s="129"/>
      <c r="M59" s="129"/>
      <c r="N59" s="130"/>
      <c r="O59" s="136"/>
      <c r="P59" s="136">
        <f t="shared" si="106"/>
        <v>0</v>
      </c>
      <c r="Q59" s="136">
        <f t="shared" si="107"/>
        <v>0</v>
      </c>
      <c r="R59" s="136">
        <f t="shared" si="6"/>
        <v>0</v>
      </c>
      <c r="S59" s="136">
        <f t="shared" si="7"/>
        <v>0</v>
      </c>
      <c r="T59" s="136">
        <f t="shared" si="8"/>
        <v>0</v>
      </c>
      <c r="U59" s="136">
        <f t="shared" si="9"/>
        <v>0</v>
      </c>
      <c r="V59" s="136">
        <f t="shared" si="10"/>
        <v>0</v>
      </c>
      <c r="W59" s="136">
        <f t="shared" si="108"/>
        <v>0</v>
      </c>
      <c r="X59" s="130">
        <f t="shared" si="34"/>
        <v>0</v>
      </c>
      <c r="Y59" s="129"/>
      <c r="Z59" s="64">
        <f t="shared" si="12"/>
        <v>0</v>
      </c>
      <c r="AA59" s="64">
        <f t="shared" si="96"/>
        <v>0</v>
      </c>
      <c r="AB59" s="64">
        <f t="shared" si="97"/>
        <v>0</v>
      </c>
      <c r="AC59" s="129"/>
      <c r="AD59" s="64">
        <f t="shared" si="13"/>
        <v>0</v>
      </c>
      <c r="AE59" s="64">
        <f t="shared" si="104"/>
        <v>0</v>
      </c>
      <c r="AF59" s="64">
        <f t="shared" si="105"/>
        <v>0</v>
      </c>
      <c r="AG59" s="129"/>
      <c r="AH59" s="64">
        <f t="shared" si="14"/>
        <v>0</v>
      </c>
      <c r="AI59" s="64">
        <f t="shared" si="100"/>
        <v>0</v>
      </c>
      <c r="AJ59" s="64">
        <f t="shared" si="101"/>
        <v>0</v>
      </c>
      <c r="AK59" s="129"/>
      <c r="AL59" s="64">
        <f t="shared" si="15"/>
        <v>0</v>
      </c>
      <c r="AM59" s="64">
        <f t="shared" si="102"/>
        <v>0</v>
      </c>
      <c r="AN59" s="64">
        <f t="shared" si="103"/>
        <v>0</v>
      </c>
      <c r="AO59" s="165" t="s">
        <v>33</v>
      </c>
    </row>
    <row r="60" spans="1:41" s="1" customFormat="1" ht="13.2" customHeight="1" x14ac:dyDescent="0.25">
      <c r="A60" s="9"/>
      <c r="B60" s="63">
        <f>+'Revenue Input'!B52</f>
        <v>435</v>
      </c>
      <c r="C60" s="63">
        <f>+'Revenue Input'!C52</f>
        <v>3200</v>
      </c>
      <c r="D60" s="83">
        <f>+'Revenue Input'!D52</f>
        <v>11</v>
      </c>
      <c r="E60" s="84">
        <f>+'Revenue Input'!E52</f>
        <v>0</v>
      </c>
      <c r="F60" s="63" t="str">
        <f>+'Revenue Input'!F52</f>
        <v>ESSER II</v>
      </c>
      <c r="G60" s="140">
        <f>+'Revenue Input'!O52</f>
        <v>25324.480000000003</v>
      </c>
      <c r="H60" s="140">
        <f>+'Revenue Input'!P52</f>
        <v>17660.310000000001</v>
      </c>
      <c r="I60" s="140">
        <f>+'Revenue Input'!Q52</f>
        <v>7664.17</v>
      </c>
      <c r="J60" s="129" t="str">
        <f t="shared" ref="J60:J63" si="139">IF(G60&gt;0.49,"*","")</f>
        <v>*</v>
      </c>
      <c r="K60" s="129"/>
      <c r="L60" s="129"/>
      <c r="M60" s="129"/>
      <c r="N60" s="130"/>
      <c r="O60" s="136"/>
      <c r="P60" s="136">
        <f t="shared" si="106"/>
        <v>0</v>
      </c>
      <c r="Q60" s="136">
        <f t="shared" si="107"/>
        <v>0</v>
      </c>
      <c r="R60" s="136">
        <f t="shared" si="6"/>
        <v>0</v>
      </c>
      <c r="S60" s="136">
        <f t="shared" si="7"/>
        <v>0</v>
      </c>
      <c r="T60" s="136">
        <f t="shared" si="8"/>
        <v>17660.310000000001</v>
      </c>
      <c r="U60" s="136">
        <f t="shared" si="9"/>
        <v>7664.17</v>
      </c>
      <c r="V60" s="136">
        <f t="shared" si="10"/>
        <v>0</v>
      </c>
      <c r="W60" s="136">
        <f t="shared" si="108"/>
        <v>0</v>
      </c>
      <c r="X60" s="130">
        <f t="shared" si="34"/>
        <v>0</v>
      </c>
      <c r="Y60" s="129"/>
      <c r="Z60" s="103">
        <f t="shared" si="12"/>
        <v>25577.724800000004</v>
      </c>
      <c r="AA60" s="103">
        <f>+H60*Inf</f>
        <v>17836.913100000002</v>
      </c>
      <c r="AB60" s="103">
        <f>+I60*Inf</f>
        <v>7740.8117000000002</v>
      </c>
      <c r="AC60" s="77"/>
      <c r="AD60" s="103">
        <f t="shared" si="13"/>
        <v>25833.502048000002</v>
      </c>
      <c r="AE60" s="103">
        <f>+AA60*Inf</f>
        <v>18015.282231000001</v>
      </c>
      <c r="AF60" s="103">
        <f>+AB60*Inf</f>
        <v>7818.2198170000001</v>
      </c>
      <c r="AG60" s="77"/>
      <c r="AH60" s="103">
        <f t="shared" si="14"/>
        <v>26091.837068480003</v>
      </c>
      <c r="AI60" s="103">
        <f>+AE60*Inf</f>
        <v>18195.435053310001</v>
      </c>
      <c r="AJ60" s="103">
        <f>+AF60*Inf</f>
        <v>7896.4020151700006</v>
      </c>
      <c r="AK60" s="77"/>
      <c r="AL60" s="103">
        <f t="shared" si="15"/>
        <v>26352.755439164801</v>
      </c>
      <c r="AM60" s="103">
        <f>+AI60*Inf</f>
        <v>18377.389403843099</v>
      </c>
      <c r="AN60" s="103">
        <f>+AJ60*Inf</f>
        <v>7975.366035321701</v>
      </c>
      <c r="AO60" s="165" t="s">
        <v>35</v>
      </c>
    </row>
    <row r="61" spans="1:41" s="129" customFormat="1" ht="13.2" customHeight="1" x14ac:dyDescent="0.25">
      <c r="A61" s="9"/>
      <c r="B61" s="63">
        <f>+'Revenue Input'!B53</f>
        <v>435</v>
      </c>
      <c r="C61" s="63">
        <f>+'Revenue Input'!C53</f>
        <v>3200</v>
      </c>
      <c r="D61" s="83">
        <f>+'Revenue Input'!D53</f>
        <v>12</v>
      </c>
      <c r="E61" s="84">
        <f>+'Revenue Input'!E53</f>
        <v>0</v>
      </c>
      <c r="F61" s="63" t="str">
        <f>+'Revenue Input'!F53</f>
        <v>ESSER III</v>
      </c>
      <c r="G61" s="140">
        <f>+'Revenue Input'!O53</f>
        <v>163500</v>
      </c>
      <c r="H61" s="140">
        <f>+'Revenue Input'!P53</f>
        <v>126100</v>
      </c>
      <c r="I61" s="140">
        <f>+'Revenue Input'!Q53</f>
        <v>37400</v>
      </c>
      <c r="J61" s="129" t="str">
        <f t="shared" si="139"/>
        <v>*</v>
      </c>
      <c r="N61" s="130"/>
      <c r="O61" s="136"/>
      <c r="P61" s="136">
        <f t="shared" si="106"/>
        <v>0</v>
      </c>
      <c r="Q61" s="136">
        <f t="shared" si="107"/>
        <v>0</v>
      </c>
      <c r="R61" s="136">
        <f t="shared" si="6"/>
        <v>0</v>
      </c>
      <c r="S61" s="136">
        <f t="shared" si="7"/>
        <v>0</v>
      </c>
      <c r="T61" s="136">
        <f t="shared" si="8"/>
        <v>126100</v>
      </c>
      <c r="U61" s="136">
        <f t="shared" si="9"/>
        <v>37400</v>
      </c>
      <c r="V61" s="136">
        <f t="shared" si="10"/>
        <v>0</v>
      </c>
      <c r="W61" s="136">
        <f t="shared" si="108"/>
        <v>0</v>
      </c>
      <c r="X61" s="130">
        <f t="shared" si="34"/>
        <v>0</v>
      </c>
      <c r="Z61" s="64">
        <f t="shared" si="12"/>
        <v>0</v>
      </c>
      <c r="AA61" s="64">
        <v>0</v>
      </c>
      <c r="AB61" s="64">
        <v>0</v>
      </c>
      <c r="AD61" s="64">
        <f t="shared" si="13"/>
        <v>0</v>
      </c>
      <c r="AE61" s="64">
        <v>0</v>
      </c>
      <c r="AF61" s="64">
        <v>0</v>
      </c>
      <c r="AH61" s="64">
        <f t="shared" si="14"/>
        <v>0</v>
      </c>
      <c r="AI61" s="64">
        <v>0</v>
      </c>
      <c r="AJ61" s="64">
        <v>0</v>
      </c>
      <c r="AL61" s="64">
        <f t="shared" si="15"/>
        <v>0</v>
      </c>
      <c r="AM61" s="64">
        <v>0</v>
      </c>
      <c r="AN61" s="64">
        <v>0</v>
      </c>
      <c r="AO61" s="165" t="s">
        <v>36</v>
      </c>
    </row>
    <row r="62" spans="1:41" s="129" customFormat="1" ht="13.2" hidden="1" customHeight="1" x14ac:dyDescent="0.25">
      <c r="A62" s="9"/>
      <c r="B62" s="63">
        <f>+'Revenue Input'!B54</f>
        <v>435</v>
      </c>
      <c r="C62" s="63">
        <f>+'Revenue Input'!C54</f>
        <v>3200</v>
      </c>
      <c r="D62" s="83">
        <f>+'Revenue Input'!D54</f>
        <v>2</v>
      </c>
      <c r="E62" s="84">
        <f>+'Revenue Input'!E54</f>
        <v>0</v>
      </c>
      <c r="F62" s="63" t="str">
        <f>+'Revenue Input'!F54</f>
        <v>GEER</v>
      </c>
      <c r="G62" s="140">
        <f>+'Revenue Input'!O54</f>
        <v>0</v>
      </c>
      <c r="H62" s="140">
        <f>+'Revenue Input'!P54</f>
        <v>0</v>
      </c>
      <c r="I62" s="140">
        <f>+'Revenue Input'!Q54</f>
        <v>0</v>
      </c>
      <c r="J62" s="129" t="str">
        <f t="shared" ref="J62" si="140">IF(G62&gt;0.49,"*","")</f>
        <v/>
      </c>
      <c r="N62" s="130"/>
      <c r="O62" s="136"/>
      <c r="P62" s="136">
        <f t="shared" ref="P62" si="141">IF(B62=490,G62,0)</f>
        <v>0</v>
      </c>
      <c r="Q62" s="136">
        <f t="shared" ref="Q62" si="142">IF(B62=410,H62,0)</f>
        <v>0</v>
      </c>
      <c r="R62" s="136">
        <f t="shared" ref="R62" si="143">IF(B62=432,H62,0)</f>
        <v>0</v>
      </c>
      <c r="S62" s="136">
        <f t="shared" ref="S62" si="144">IF(B62=432,I62,0)</f>
        <v>0</v>
      </c>
      <c r="T62" s="136">
        <f t="shared" si="8"/>
        <v>0</v>
      </c>
      <c r="U62" s="136">
        <f t="shared" si="9"/>
        <v>0</v>
      </c>
      <c r="V62" s="136">
        <f t="shared" ref="V62" si="145">IF(B62=360,I62,0)</f>
        <v>0</v>
      </c>
      <c r="W62" s="136">
        <f t="shared" ref="W62" si="146">IF(B62=410,I62,0)</f>
        <v>0</v>
      </c>
      <c r="X62" s="130">
        <f t="shared" ref="X62" si="147">+W62+Q62-O62</f>
        <v>0</v>
      </c>
      <c r="Z62" s="64">
        <f t="shared" ref="Z62" si="148">AA62+AB62</f>
        <v>0</v>
      </c>
      <c r="AA62" s="64">
        <v>0</v>
      </c>
      <c r="AB62" s="64">
        <v>0</v>
      </c>
      <c r="AD62" s="64">
        <f t="shared" ref="AD62" si="149">AE62+AF62</f>
        <v>0</v>
      </c>
      <c r="AE62" s="64">
        <v>0</v>
      </c>
      <c r="AF62" s="64">
        <v>0</v>
      </c>
      <c r="AH62" s="64">
        <f t="shared" ref="AH62" si="150">AI62+AJ62</f>
        <v>0</v>
      </c>
      <c r="AI62" s="64">
        <v>0</v>
      </c>
      <c r="AJ62" s="64">
        <v>0</v>
      </c>
      <c r="AL62" s="64">
        <f t="shared" ref="AL62" si="151">AM62+AN62</f>
        <v>0</v>
      </c>
      <c r="AM62" s="64">
        <v>0</v>
      </c>
      <c r="AN62" s="64">
        <v>0</v>
      </c>
      <c r="AO62" s="165" t="s">
        <v>36</v>
      </c>
    </row>
    <row r="63" spans="1:41" s="1" customFormat="1" ht="13.2" hidden="1" customHeight="1" x14ac:dyDescent="0.25">
      <c r="A63" s="9"/>
      <c r="B63" s="63">
        <f>+'Revenue Input'!B55</f>
        <v>435</v>
      </c>
      <c r="C63" s="63">
        <f>+'Revenue Input'!C55</f>
        <v>3700</v>
      </c>
      <c r="D63" s="83">
        <f>+'Revenue Input'!D55</f>
        <v>0</v>
      </c>
      <c r="E63" s="84">
        <f>+'Revenue Input'!E55</f>
        <v>0</v>
      </c>
      <c r="F63" s="63" t="str">
        <f>+'Revenue Input'!F55</f>
        <v>PPP</v>
      </c>
      <c r="G63" s="140">
        <f>+'Revenue Input'!O55</f>
        <v>0</v>
      </c>
      <c r="H63" s="140">
        <f>+'Revenue Input'!P55</f>
        <v>0</v>
      </c>
      <c r="I63" s="140">
        <f>+'Revenue Input'!Q55</f>
        <v>0</v>
      </c>
      <c r="J63" s="129" t="str">
        <f t="shared" si="139"/>
        <v/>
      </c>
      <c r="K63" s="129"/>
      <c r="L63" s="129"/>
      <c r="M63" s="129"/>
      <c r="N63" s="130"/>
      <c r="O63" s="136"/>
      <c r="P63" s="136">
        <f t="shared" si="106"/>
        <v>0</v>
      </c>
      <c r="Q63" s="136">
        <f t="shared" si="107"/>
        <v>0</v>
      </c>
      <c r="R63" s="136">
        <f t="shared" si="6"/>
        <v>0</v>
      </c>
      <c r="S63" s="136">
        <f t="shared" si="7"/>
        <v>0</v>
      </c>
      <c r="T63" s="136">
        <f t="shared" si="8"/>
        <v>0</v>
      </c>
      <c r="U63" s="136">
        <f t="shared" si="9"/>
        <v>0</v>
      </c>
      <c r="V63" s="136">
        <f t="shared" si="10"/>
        <v>0</v>
      </c>
      <c r="W63" s="136">
        <f t="shared" si="108"/>
        <v>0</v>
      </c>
      <c r="X63" s="130">
        <f t="shared" si="34"/>
        <v>0</v>
      </c>
      <c r="Y63" s="129"/>
      <c r="Z63" s="64">
        <f t="shared" si="12"/>
        <v>0</v>
      </c>
      <c r="AA63" s="64">
        <v>0</v>
      </c>
      <c r="AB63" s="64">
        <v>0</v>
      </c>
      <c r="AC63" s="129"/>
      <c r="AD63" s="64">
        <f t="shared" si="13"/>
        <v>0</v>
      </c>
      <c r="AE63" s="64">
        <v>0</v>
      </c>
      <c r="AF63" s="64">
        <v>0</v>
      </c>
      <c r="AG63" s="129"/>
      <c r="AH63" s="64">
        <f t="shared" si="14"/>
        <v>0</v>
      </c>
      <c r="AI63" s="64">
        <v>0</v>
      </c>
      <c r="AJ63" s="64">
        <v>0</v>
      </c>
      <c r="AK63" s="129"/>
      <c r="AL63" s="64">
        <f t="shared" si="15"/>
        <v>0</v>
      </c>
      <c r="AM63" s="64">
        <v>0</v>
      </c>
      <c r="AN63" s="64">
        <v>0</v>
      </c>
      <c r="AO63" s="165" t="s">
        <v>36</v>
      </c>
    </row>
    <row r="64" spans="1:41" s="1" customFormat="1" ht="13.2" hidden="1" customHeight="1" x14ac:dyDescent="0.25">
      <c r="A64" s="9"/>
      <c r="B64" s="63">
        <f>+'Revenue Input'!B56</f>
        <v>490</v>
      </c>
      <c r="C64" s="63">
        <f>+'Revenue Input'!C56</f>
        <v>3290</v>
      </c>
      <c r="D64" s="83">
        <f>+'Revenue Input'!D56</f>
        <v>0</v>
      </c>
      <c r="E64" s="84">
        <f>+'Revenue Input'!E56</f>
        <v>0</v>
      </c>
      <c r="F64" s="63" t="str">
        <f>+'Revenue Input'!F56</f>
        <v>CSP Revenue</v>
      </c>
      <c r="G64" s="140">
        <f>+'Revenue Input'!O56</f>
        <v>0</v>
      </c>
      <c r="H64" s="140">
        <f>+'Revenue Input'!P56</f>
        <v>0</v>
      </c>
      <c r="I64" s="140">
        <f>+'Revenue Input'!Q56</f>
        <v>0</v>
      </c>
      <c r="J64" s="129" t="str">
        <f t="shared" ref="J64:J77" si="152">IF(G64&gt;0.49,"*","")</f>
        <v/>
      </c>
      <c r="K64" s="129"/>
      <c r="L64" s="129"/>
      <c r="M64" s="129"/>
      <c r="N64" s="130"/>
      <c r="O64" s="136"/>
      <c r="P64" s="136">
        <f t="shared" si="106"/>
        <v>0</v>
      </c>
      <c r="Q64" s="136">
        <f t="shared" si="107"/>
        <v>0</v>
      </c>
      <c r="R64" s="136">
        <f t="shared" si="6"/>
        <v>0</v>
      </c>
      <c r="S64" s="136">
        <f t="shared" si="7"/>
        <v>0</v>
      </c>
      <c r="T64" s="136">
        <f t="shared" si="8"/>
        <v>0</v>
      </c>
      <c r="U64" s="136">
        <f t="shared" si="9"/>
        <v>0</v>
      </c>
      <c r="V64" s="136">
        <f t="shared" si="10"/>
        <v>0</v>
      </c>
      <c r="W64" s="136">
        <f t="shared" si="108"/>
        <v>0</v>
      </c>
      <c r="X64" s="130">
        <f t="shared" si="34"/>
        <v>0</v>
      </c>
      <c r="Y64" s="129"/>
      <c r="Z64" s="64">
        <f t="shared" si="12"/>
        <v>0</v>
      </c>
      <c r="AA64" s="64">
        <v>0</v>
      </c>
      <c r="AB64" s="64">
        <v>0</v>
      </c>
      <c r="AC64" s="129"/>
      <c r="AD64" s="64">
        <f t="shared" si="13"/>
        <v>0</v>
      </c>
      <c r="AE64" s="64">
        <v>0</v>
      </c>
      <c r="AF64" s="64">
        <v>0</v>
      </c>
      <c r="AG64" s="129"/>
      <c r="AH64" s="64">
        <f t="shared" si="14"/>
        <v>0</v>
      </c>
      <c r="AI64" s="64">
        <v>0</v>
      </c>
      <c r="AJ64" s="64">
        <v>0</v>
      </c>
      <c r="AK64" s="129"/>
      <c r="AL64" s="64">
        <f t="shared" si="15"/>
        <v>0</v>
      </c>
      <c r="AM64" s="64">
        <v>0</v>
      </c>
      <c r="AN64" s="64">
        <v>0</v>
      </c>
      <c r="AO64" s="165" t="s">
        <v>32</v>
      </c>
    </row>
    <row r="65" spans="1:41" s="1" customFormat="1" ht="13.2" hidden="1" customHeight="1" x14ac:dyDescent="0.25">
      <c r="A65" s="9"/>
      <c r="B65" s="63">
        <f>+'Revenue Input'!B57</f>
        <v>493</v>
      </c>
      <c r="C65" s="63">
        <f>+'Revenue Input'!C57</f>
        <v>3290</v>
      </c>
      <c r="D65" s="83">
        <f>+'Revenue Input'!D57</f>
        <v>0</v>
      </c>
      <c r="E65" s="84">
        <f>+'Revenue Input'!E57</f>
        <v>0</v>
      </c>
      <c r="F65" s="63" t="str">
        <f>+'Revenue Input'!F57</f>
        <v>Restart Revenue</v>
      </c>
      <c r="G65" s="140">
        <f>+'Revenue Input'!O57</f>
        <v>0</v>
      </c>
      <c r="H65" s="140">
        <f>+'Revenue Input'!P57</f>
        <v>0</v>
      </c>
      <c r="I65" s="140">
        <f>+'Revenue Input'!Q57</f>
        <v>0</v>
      </c>
      <c r="J65" s="129" t="str">
        <f t="shared" si="152"/>
        <v/>
      </c>
      <c r="K65" s="129"/>
      <c r="L65" s="129"/>
      <c r="M65" s="129"/>
      <c r="N65" s="130"/>
      <c r="O65" s="136"/>
      <c r="P65" s="136">
        <f t="shared" si="106"/>
        <v>0</v>
      </c>
      <c r="Q65" s="136">
        <f t="shared" si="107"/>
        <v>0</v>
      </c>
      <c r="R65" s="136">
        <f t="shared" si="6"/>
        <v>0</v>
      </c>
      <c r="S65" s="136">
        <f t="shared" si="7"/>
        <v>0</v>
      </c>
      <c r="T65" s="136">
        <f t="shared" si="8"/>
        <v>0</v>
      </c>
      <c r="U65" s="136">
        <f t="shared" si="9"/>
        <v>0</v>
      </c>
      <c r="V65" s="136">
        <f t="shared" si="10"/>
        <v>0</v>
      </c>
      <c r="W65" s="136">
        <f t="shared" si="108"/>
        <v>0</v>
      </c>
      <c r="X65" s="130">
        <f t="shared" si="34"/>
        <v>0</v>
      </c>
      <c r="Y65" s="129"/>
      <c r="Z65" s="64"/>
      <c r="AA65" s="64"/>
      <c r="AB65" s="64"/>
      <c r="AC65" s="129"/>
      <c r="AD65" s="64"/>
      <c r="AE65" s="64"/>
      <c r="AF65" s="64"/>
      <c r="AG65" s="129"/>
      <c r="AH65" s="64"/>
      <c r="AI65" s="64"/>
      <c r="AJ65" s="64"/>
      <c r="AK65" s="129"/>
      <c r="AL65" s="64"/>
      <c r="AM65" s="64"/>
      <c r="AN65" s="64"/>
      <c r="AO65" s="165"/>
    </row>
    <row r="66" spans="1:41" s="1" customFormat="1" ht="13.2" hidden="1" customHeight="1" x14ac:dyDescent="0.25">
      <c r="A66" s="9"/>
      <c r="B66" s="63">
        <f>+'Revenue Input'!B58</f>
        <v>495</v>
      </c>
      <c r="C66" s="63">
        <f>+'Revenue Input'!C58</f>
        <v>3200</v>
      </c>
      <c r="D66" s="83">
        <f>+'Revenue Input'!D58</f>
        <v>0</v>
      </c>
      <c r="E66" s="84">
        <f>+'Revenue Input'!E58</f>
        <v>0</v>
      </c>
      <c r="F66" s="63" t="str">
        <f>+'Revenue Input'!F58</f>
        <v>FEMA Proceeds</v>
      </c>
      <c r="G66" s="140">
        <f>+'Revenue Input'!O58</f>
        <v>0</v>
      </c>
      <c r="H66" s="140">
        <f>+'Revenue Input'!P58</f>
        <v>0</v>
      </c>
      <c r="I66" s="140">
        <f>+'Revenue Input'!Q58</f>
        <v>0</v>
      </c>
      <c r="J66" s="129" t="str">
        <f t="shared" si="152"/>
        <v/>
      </c>
      <c r="K66" s="129"/>
      <c r="L66" s="129"/>
      <c r="M66" s="129"/>
      <c r="N66" s="130"/>
      <c r="O66" s="136"/>
      <c r="P66" s="136">
        <f t="shared" si="106"/>
        <v>0</v>
      </c>
      <c r="Q66" s="136">
        <f t="shared" si="107"/>
        <v>0</v>
      </c>
      <c r="R66" s="136">
        <f t="shared" si="6"/>
        <v>0</v>
      </c>
      <c r="S66" s="136">
        <f t="shared" si="7"/>
        <v>0</v>
      </c>
      <c r="T66" s="136">
        <f t="shared" si="8"/>
        <v>0</v>
      </c>
      <c r="U66" s="136">
        <f t="shared" si="9"/>
        <v>0</v>
      </c>
      <c r="V66" s="136">
        <f t="shared" si="10"/>
        <v>0</v>
      </c>
      <c r="W66" s="136">
        <f t="shared" si="108"/>
        <v>0</v>
      </c>
      <c r="X66" s="130">
        <f t="shared" si="34"/>
        <v>0</v>
      </c>
      <c r="Y66" s="129"/>
      <c r="Z66" s="64"/>
      <c r="AA66" s="64"/>
      <c r="AB66" s="64"/>
      <c r="AC66" s="129"/>
      <c r="AD66" s="64"/>
      <c r="AE66" s="64"/>
      <c r="AF66" s="64"/>
      <c r="AG66" s="129"/>
      <c r="AH66" s="64"/>
      <c r="AI66" s="64"/>
      <c r="AJ66" s="64"/>
      <c r="AK66" s="129"/>
      <c r="AL66" s="64"/>
      <c r="AM66" s="64"/>
      <c r="AN66" s="64"/>
      <c r="AO66" s="165"/>
    </row>
    <row r="67" spans="1:41" s="1" customFormat="1" ht="13.2" hidden="1" customHeight="1" x14ac:dyDescent="0.25">
      <c r="A67" s="9"/>
      <c r="B67" s="63">
        <f>+'Revenue Input'!B59</f>
        <v>495</v>
      </c>
      <c r="C67" s="63">
        <f>+'Revenue Input'!C59</f>
        <v>3473</v>
      </c>
      <c r="D67" s="83">
        <f>+'Revenue Input'!D59</f>
        <v>0</v>
      </c>
      <c r="E67" s="84">
        <f>+'Revenue Input'!E59</f>
        <v>0</v>
      </c>
      <c r="F67" s="63" t="str">
        <f>+'Revenue Input'!F59</f>
        <v>Insurance Claim</v>
      </c>
      <c r="G67" s="140">
        <f>+'Revenue Input'!O59</f>
        <v>0</v>
      </c>
      <c r="H67" s="140">
        <f>+'Revenue Input'!P59</f>
        <v>0</v>
      </c>
      <c r="I67" s="140">
        <f>+'Revenue Input'!Q59</f>
        <v>0</v>
      </c>
      <c r="J67" s="129" t="str">
        <f t="shared" si="152"/>
        <v/>
      </c>
      <c r="K67" s="129"/>
      <c r="L67" s="129"/>
      <c r="M67" s="129"/>
      <c r="N67" s="130"/>
      <c r="O67" s="136"/>
      <c r="P67" s="136">
        <f t="shared" si="106"/>
        <v>0</v>
      </c>
      <c r="Q67" s="136">
        <f t="shared" si="107"/>
        <v>0</v>
      </c>
      <c r="R67" s="136">
        <f t="shared" si="6"/>
        <v>0</v>
      </c>
      <c r="S67" s="136">
        <f t="shared" si="7"/>
        <v>0</v>
      </c>
      <c r="T67" s="136">
        <f t="shared" si="8"/>
        <v>0</v>
      </c>
      <c r="U67" s="136">
        <f t="shared" si="9"/>
        <v>0</v>
      </c>
      <c r="V67" s="136">
        <f t="shared" si="10"/>
        <v>0</v>
      </c>
      <c r="W67" s="136">
        <f t="shared" si="108"/>
        <v>0</v>
      </c>
      <c r="X67" s="130">
        <f t="shared" si="34"/>
        <v>0</v>
      </c>
      <c r="Y67" s="129"/>
      <c r="Z67" s="136"/>
      <c r="AA67" s="136"/>
      <c r="AB67" s="136"/>
      <c r="AC67" s="129"/>
      <c r="AD67" s="136"/>
      <c r="AE67" s="136"/>
      <c r="AF67" s="136"/>
      <c r="AG67" s="129"/>
      <c r="AH67" s="136"/>
      <c r="AI67" s="136"/>
      <c r="AJ67" s="136"/>
      <c r="AK67" s="129"/>
      <c r="AL67" s="136"/>
      <c r="AM67" s="136"/>
      <c r="AN67" s="136"/>
      <c r="AO67" s="165"/>
    </row>
    <row r="68" spans="1:41" s="1" customFormat="1" ht="13.2" hidden="1" customHeight="1" x14ac:dyDescent="0.25">
      <c r="A68" s="9"/>
      <c r="B68" s="63"/>
      <c r="C68" s="63"/>
      <c r="D68" s="83"/>
      <c r="E68" s="84"/>
      <c r="F68" s="63"/>
      <c r="G68" s="140"/>
      <c r="H68" s="140"/>
      <c r="I68" s="140"/>
      <c r="J68" s="129" t="str">
        <f t="shared" si="152"/>
        <v/>
      </c>
      <c r="K68" s="129"/>
      <c r="L68" s="129"/>
      <c r="M68" s="129"/>
      <c r="N68" s="130"/>
      <c r="O68" s="136"/>
      <c r="P68" s="136">
        <f t="shared" si="106"/>
        <v>0</v>
      </c>
      <c r="Q68" s="136">
        <f t="shared" si="107"/>
        <v>0</v>
      </c>
      <c r="R68" s="136">
        <f t="shared" si="6"/>
        <v>0</v>
      </c>
      <c r="S68" s="136">
        <f t="shared" si="7"/>
        <v>0</v>
      </c>
      <c r="T68" s="136">
        <f t="shared" si="8"/>
        <v>0</v>
      </c>
      <c r="U68" s="136">
        <f t="shared" si="9"/>
        <v>0</v>
      </c>
      <c r="V68" s="136">
        <f t="shared" si="10"/>
        <v>0</v>
      </c>
      <c r="W68" s="136">
        <f t="shared" si="108"/>
        <v>0</v>
      </c>
      <c r="X68" s="130">
        <f t="shared" si="34"/>
        <v>0</v>
      </c>
      <c r="Y68" s="129"/>
      <c r="Z68" s="136"/>
      <c r="AA68" s="136"/>
      <c r="AB68" s="136"/>
      <c r="AC68" s="129"/>
      <c r="AD68" s="136"/>
      <c r="AE68" s="136"/>
      <c r="AF68" s="136"/>
      <c r="AG68" s="129"/>
      <c r="AH68" s="136"/>
      <c r="AI68" s="136"/>
      <c r="AJ68" s="136"/>
      <c r="AK68" s="129"/>
      <c r="AL68" s="136"/>
      <c r="AM68" s="136"/>
      <c r="AN68" s="136"/>
      <c r="AO68" s="165"/>
    </row>
    <row r="69" spans="1:41" s="1" customFormat="1" ht="13.2" hidden="1" customHeight="1" x14ac:dyDescent="0.25">
      <c r="A69" s="9"/>
      <c r="B69" s="63"/>
      <c r="C69" s="63"/>
      <c r="D69" s="83"/>
      <c r="E69" s="84"/>
      <c r="F69" s="63"/>
      <c r="G69" s="140"/>
      <c r="H69" s="140"/>
      <c r="I69" s="140"/>
      <c r="J69" s="129" t="str">
        <f t="shared" si="152"/>
        <v/>
      </c>
      <c r="K69" s="129"/>
      <c r="L69" s="129"/>
      <c r="M69" s="129"/>
      <c r="N69" s="130"/>
      <c r="O69" s="136"/>
      <c r="P69" s="136">
        <f t="shared" si="106"/>
        <v>0</v>
      </c>
      <c r="Q69" s="136">
        <f t="shared" si="107"/>
        <v>0</v>
      </c>
      <c r="R69" s="136">
        <f t="shared" si="6"/>
        <v>0</v>
      </c>
      <c r="S69" s="136">
        <f t="shared" si="7"/>
        <v>0</v>
      </c>
      <c r="T69" s="136">
        <f t="shared" si="8"/>
        <v>0</v>
      </c>
      <c r="U69" s="136">
        <f t="shared" si="9"/>
        <v>0</v>
      </c>
      <c r="V69" s="136">
        <f t="shared" si="10"/>
        <v>0</v>
      </c>
      <c r="W69" s="136">
        <f t="shared" si="108"/>
        <v>0</v>
      </c>
      <c r="X69" s="130">
        <f t="shared" si="34"/>
        <v>0</v>
      </c>
      <c r="Y69" s="129"/>
      <c r="Z69" s="136"/>
      <c r="AA69" s="136"/>
      <c r="AB69" s="136"/>
      <c r="AC69" s="129"/>
      <c r="AD69" s="136"/>
      <c r="AE69" s="136"/>
      <c r="AF69" s="136"/>
      <c r="AG69" s="129"/>
      <c r="AH69" s="136"/>
      <c r="AI69" s="136"/>
      <c r="AJ69" s="136"/>
      <c r="AK69" s="129"/>
      <c r="AL69" s="136"/>
      <c r="AM69" s="136"/>
      <c r="AN69" s="136"/>
      <c r="AO69" s="165"/>
    </row>
    <row r="70" spans="1:41" s="1" customFormat="1" ht="13.2" hidden="1" customHeight="1" x14ac:dyDescent="0.25">
      <c r="A70" s="9"/>
      <c r="B70" s="63"/>
      <c r="C70" s="63"/>
      <c r="D70" s="83"/>
      <c r="E70" s="84"/>
      <c r="F70" s="63"/>
      <c r="G70" s="140"/>
      <c r="H70" s="140"/>
      <c r="I70" s="140"/>
      <c r="J70" s="129" t="str">
        <f t="shared" si="152"/>
        <v/>
      </c>
      <c r="K70" s="129"/>
      <c r="L70" s="129"/>
      <c r="M70" s="129"/>
      <c r="N70" s="130"/>
      <c r="O70" s="136"/>
      <c r="P70" s="136">
        <f t="shared" si="106"/>
        <v>0</v>
      </c>
      <c r="Q70" s="136">
        <f t="shared" si="107"/>
        <v>0</v>
      </c>
      <c r="R70" s="136">
        <f t="shared" si="6"/>
        <v>0</v>
      </c>
      <c r="S70" s="136">
        <f t="shared" si="7"/>
        <v>0</v>
      </c>
      <c r="T70" s="136">
        <f t="shared" si="8"/>
        <v>0</v>
      </c>
      <c r="U70" s="136">
        <f t="shared" si="9"/>
        <v>0</v>
      </c>
      <c r="V70" s="136">
        <f t="shared" si="10"/>
        <v>0</v>
      </c>
      <c r="W70" s="136">
        <f t="shared" si="108"/>
        <v>0</v>
      </c>
      <c r="X70" s="130">
        <f t="shared" si="34"/>
        <v>0</v>
      </c>
      <c r="Y70" s="129"/>
      <c r="Z70" s="136"/>
      <c r="AA70" s="136"/>
      <c r="AB70" s="136"/>
      <c r="AC70" s="129"/>
      <c r="AD70" s="136"/>
      <c r="AE70" s="136"/>
      <c r="AF70" s="136"/>
      <c r="AG70" s="129"/>
      <c r="AH70" s="136"/>
      <c r="AI70" s="136"/>
      <c r="AJ70" s="136"/>
      <c r="AK70" s="129"/>
      <c r="AL70" s="136"/>
      <c r="AM70" s="136"/>
      <c r="AN70" s="136"/>
      <c r="AO70" s="165"/>
    </row>
    <row r="71" spans="1:41" s="1" customFormat="1" ht="13.2" hidden="1" customHeight="1" x14ac:dyDescent="0.25">
      <c r="A71" s="9"/>
      <c r="B71" s="134"/>
      <c r="C71" s="134"/>
      <c r="D71" s="51"/>
      <c r="E71" s="52"/>
      <c r="F71" s="134"/>
      <c r="G71" s="136"/>
      <c r="H71" s="136"/>
      <c r="I71" s="136"/>
      <c r="J71" s="129" t="str">
        <f t="shared" si="152"/>
        <v/>
      </c>
      <c r="K71" s="129"/>
      <c r="L71" s="129"/>
      <c r="M71" s="129"/>
      <c r="N71" s="130"/>
      <c r="O71" s="136"/>
      <c r="P71" s="136">
        <f t="shared" si="106"/>
        <v>0</v>
      </c>
      <c r="Q71" s="136">
        <f t="shared" si="107"/>
        <v>0</v>
      </c>
      <c r="R71" s="136">
        <f t="shared" si="6"/>
        <v>0</v>
      </c>
      <c r="S71" s="136">
        <f t="shared" si="7"/>
        <v>0</v>
      </c>
      <c r="T71" s="136">
        <f t="shared" si="8"/>
        <v>0</v>
      </c>
      <c r="U71" s="136">
        <f t="shared" si="9"/>
        <v>0</v>
      </c>
      <c r="V71" s="136">
        <f t="shared" si="10"/>
        <v>0</v>
      </c>
      <c r="W71" s="136">
        <f t="shared" si="108"/>
        <v>0</v>
      </c>
      <c r="X71" s="130">
        <f t="shared" si="34"/>
        <v>0</v>
      </c>
      <c r="Y71" s="129"/>
      <c r="Z71" s="136"/>
      <c r="AA71" s="136"/>
      <c r="AB71" s="136"/>
      <c r="AC71" s="129"/>
      <c r="AD71" s="136"/>
      <c r="AE71" s="136"/>
      <c r="AF71" s="136"/>
      <c r="AG71" s="129"/>
      <c r="AH71" s="136"/>
      <c r="AI71" s="136"/>
      <c r="AJ71" s="136"/>
      <c r="AK71" s="129"/>
      <c r="AL71" s="136"/>
      <c r="AM71" s="136"/>
      <c r="AN71" s="136"/>
      <c r="AO71" s="165"/>
    </row>
    <row r="72" spans="1:41" s="1" customFormat="1" ht="13.2" hidden="1" customHeight="1" x14ac:dyDescent="0.25">
      <c r="A72" s="9"/>
      <c r="B72" s="134"/>
      <c r="C72" s="134"/>
      <c r="D72" s="51"/>
      <c r="E72" s="52"/>
      <c r="F72" s="134"/>
      <c r="G72" s="136"/>
      <c r="H72" s="136"/>
      <c r="I72" s="136"/>
      <c r="J72" s="129" t="str">
        <f t="shared" si="152"/>
        <v/>
      </c>
      <c r="K72" s="129"/>
      <c r="L72" s="129"/>
      <c r="M72" s="129"/>
      <c r="N72" s="130"/>
      <c r="O72" s="136"/>
      <c r="P72" s="136">
        <f t="shared" si="106"/>
        <v>0</v>
      </c>
      <c r="Q72" s="136">
        <f t="shared" si="107"/>
        <v>0</v>
      </c>
      <c r="R72" s="136">
        <f t="shared" si="6"/>
        <v>0</v>
      </c>
      <c r="S72" s="136">
        <f t="shared" si="7"/>
        <v>0</v>
      </c>
      <c r="T72" s="136">
        <f t="shared" si="8"/>
        <v>0</v>
      </c>
      <c r="U72" s="136">
        <f t="shared" si="9"/>
        <v>0</v>
      </c>
      <c r="V72" s="136">
        <f t="shared" si="10"/>
        <v>0</v>
      </c>
      <c r="W72" s="136">
        <f t="shared" si="108"/>
        <v>0</v>
      </c>
      <c r="X72" s="130">
        <f t="shared" si="34"/>
        <v>0</v>
      </c>
      <c r="Y72" s="129"/>
      <c r="Z72" s="136"/>
      <c r="AA72" s="136"/>
      <c r="AB72" s="136"/>
      <c r="AC72" s="129"/>
      <c r="AD72" s="136"/>
      <c r="AE72" s="136"/>
      <c r="AF72" s="136"/>
      <c r="AG72" s="129"/>
      <c r="AH72" s="136"/>
      <c r="AI72" s="136"/>
      <c r="AJ72" s="136"/>
      <c r="AK72" s="129"/>
      <c r="AL72" s="136"/>
      <c r="AM72" s="136"/>
      <c r="AN72" s="136"/>
      <c r="AO72" s="165"/>
    </row>
    <row r="73" spans="1:41" s="1" customFormat="1" ht="13.2" hidden="1" customHeight="1" x14ac:dyDescent="0.25">
      <c r="A73" s="9"/>
      <c r="B73" s="134"/>
      <c r="C73" s="134"/>
      <c r="D73" s="51"/>
      <c r="E73" s="52"/>
      <c r="F73" s="134"/>
      <c r="G73" s="136"/>
      <c r="H73" s="136"/>
      <c r="I73" s="136"/>
      <c r="J73" s="129" t="str">
        <f t="shared" si="152"/>
        <v/>
      </c>
      <c r="K73" s="129"/>
      <c r="L73" s="129"/>
      <c r="M73" s="129"/>
      <c r="N73" s="130"/>
      <c r="O73" s="136"/>
      <c r="P73" s="136">
        <f t="shared" si="106"/>
        <v>0</v>
      </c>
      <c r="Q73" s="136">
        <f t="shared" si="107"/>
        <v>0</v>
      </c>
      <c r="R73" s="136">
        <f t="shared" si="6"/>
        <v>0</v>
      </c>
      <c r="S73" s="136">
        <f t="shared" si="7"/>
        <v>0</v>
      </c>
      <c r="T73" s="136">
        <f t="shared" si="8"/>
        <v>0</v>
      </c>
      <c r="U73" s="136">
        <f t="shared" si="9"/>
        <v>0</v>
      </c>
      <c r="V73" s="136">
        <f t="shared" si="10"/>
        <v>0</v>
      </c>
      <c r="W73" s="136">
        <f t="shared" si="108"/>
        <v>0</v>
      </c>
      <c r="X73" s="130">
        <f t="shared" si="34"/>
        <v>0</v>
      </c>
      <c r="Y73" s="129"/>
      <c r="Z73" s="136"/>
      <c r="AA73" s="136"/>
      <c r="AB73" s="136"/>
      <c r="AC73" s="129"/>
      <c r="AD73" s="136"/>
      <c r="AE73" s="136"/>
      <c r="AF73" s="136"/>
      <c r="AG73" s="129"/>
      <c r="AH73" s="136"/>
      <c r="AI73" s="136"/>
      <c r="AJ73" s="136"/>
      <c r="AK73" s="129"/>
      <c r="AL73" s="136"/>
      <c r="AM73" s="136"/>
      <c r="AN73" s="136"/>
      <c r="AO73" s="165"/>
    </row>
    <row r="74" spans="1:41" s="1" customFormat="1" ht="13.2" hidden="1" customHeight="1" x14ac:dyDescent="0.25">
      <c r="A74" s="9"/>
      <c r="B74" s="134"/>
      <c r="C74" s="134"/>
      <c r="D74" s="51"/>
      <c r="E74" s="52"/>
      <c r="F74" s="134"/>
      <c r="G74" s="136"/>
      <c r="H74" s="136"/>
      <c r="I74" s="136"/>
      <c r="J74" s="129" t="str">
        <f t="shared" si="152"/>
        <v/>
      </c>
      <c r="K74" s="129"/>
      <c r="L74" s="129"/>
      <c r="M74" s="129"/>
      <c r="N74" s="130"/>
      <c r="O74" s="136"/>
      <c r="P74" s="136">
        <f t="shared" si="106"/>
        <v>0</v>
      </c>
      <c r="Q74" s="136">
        <f t="shared" si="107"/>
        <v>0</v>
      </c>
      <c r="R74" s="136">
        <f t="shared" si="6"/>
        <v>0</v>
      </c>
      <c r="S74" s="136">
        <f t="shared" si="7"/>
        <v>0</v>
      </c>
      <c r="T74" s="136">
        <f t="shared" si="8"/>
        <v>0</v>
      </c>
      <c r="U74" s="136">
        <f t="shared" si="9"/>
        <v>0</v>
      </c>
      <c r="V74" s="136">
        <f t="shared" si="10"/>
        <v>0</v>
      </c>
      <c r="W74" s="136">
        <f t="shared" si="108"/>
        <v>0</v>
      </c>
      <c r="X74" s="130">
        <f t="shared" si="34"/>
        <v>0</v>
      </c>
      <c r="Y74" s="129"/>
      <c r="Z74" s="136"/>
      <c r="AA74" s="136"/>
      <c r="AB74" s="136"/>
      <c r="AC74" s="129"/>
      <c r="AD74" s="136"/>
      <c r="AE74" s="136"/>
      <c r="AF74" s="136"/>
      <c r="AG74" s="129"/>
      <c r="AH74" s="136"/>
      <c r="AI74" s="136"/>
      <c r="AJ74" s="136"/>
      <c r="AK74" s="129"/>
      <c r="AL74" s="136"/>
      <c r="AM74" s="136"/>
      <c r="AN74" s="136"/>
      <c r="AO74" s="165"/>
    </row>
    <row r="75" spans="1:41" s="1" customFormat="1" ht="13.2" hidden="1" customHeight="1" x14ac:dyDescent="0.25">
      <c r="A75" s="9"/>
      <c r="B75" s="134"/>
      <c r="C75" s="134"/>
      <c r="D75" s="51"/>
      <c r="E75" s="52"/>
      <c r="F75" s="134"/>
      <c r="G75" s="136"/>
      <c r="H75" s="136"/>
      <c r="I75" s="136"/>
      <c r="J75" s="129" t="str">
        <f t="shared" si="152"/>
        <v/>
      </c>
      <c r="K75" s="129"/>
      <c r="L75" s="129"/>
      <c r="M75" s="129"/>
      <c r="N75" s="130"/>
      <c r="O75" s="136"/>
      <c r="P75" s="136">
        <f t="shared" si="106"/>
        <v>0</v>
      </c>
      <c r="Q75" s="136">
        <f t="shared" si="107"/>
        <v>0</v>
      </c>
      <c r="R75" s="136">
        <f t="shared" si="6"/>
        <v>0</v>
      </c>
      <c r="S75" s="136">
        <f t="shared" si="7"/>
        <v>0</v>
      </c>
      <c r="T75" s="136">
        <f t="shared" si="8"/>
        <v>0</v>
      </c>
      <c r="U75" s="136">
        <f t="shared" si="9"/>
        <v>0</v>
      </c>
      <c r="V75" s="136">
        <f t="shared" si="10"/>
        <v>0</v>
      </c>
      <c r="W75" s="136">
        <f t="shared" si="108"/>
        <v>0</v>
      </c>
      <c r="X75" s="130">
        <f t="shared" si="34"/>
        <v>0</v>
      </c>
      <c r="Y75" s="129"/>
      <c r="Z75" s="136"/>
      <c r="AA75" s="136"/>
      <c r="AB75" s="136"/>
      <c r="AC75" s="129"/>
      <c r="AD75" s="136"/>
      <c r="AE75" s="136"/>
      <c r="AF75" s="136"/>
      <c r="AG75" s="129"/>
      <c r="AH75" s="136"/>
      <c r="AI75" s="136"/>
      <c r="AJ75" s="136"/>
      <c r="AK75" s="129"/>
      <c r="AL75" s="136"/>
      <c r="AM75" s="136"/>
      <c r="AN75" s="136"/>
      <c r="AO75" s="165"/>
    </row>
    <row r="76" spans="1:41" s="1" customFormat="1" ht="13.2" hidden="1" customHeight="1" x14ac:dyDescent="0.25">
      <c r="A76" s="9"/>
      <c r="B76" s="134"/>
      <c r="C76" s="134"/>
      <c r="D76" s="51"/>
      <c r="E76" s="52"/>
      <c r="F76" s="134"/>
      <c r="G76" s="136"/>
      <c r="H76" s="136"/>
      <c r="I76" s="136"/>
      <c r="J76" s="129" t="str">
        <f t="shared" si="152"/>
        <v/>
      </c>
      <c r="K76" s="129"/>
      <c r="L76" s="129"/>
      <c r="M76" s="129"/>
      <c r="N76" s="130"/>
      <c r="O76" s="136"/>
      <c r="P76" s="136">
        <f t="shared" si="106"/>
        <v>0</v>
      </c>
      <c r="Q76" s="136">
        <f t="shared" si="107"/>
        <v>0</v>
      </c>
      <c r="R76" s="136">
        <f t="shared" si="6"/>
        <v>0</v>
      </c>
      <c r="S76" s="136">
        <f t="shared" si="7"/>
        <v>0</v>
      </c>
      <c r="T76" s="136">
        <f t="shared" si="8"/>
        <v>0</v>
      </c>
      <c r="U76" s="136">
        <f t="shared" si="9"/>
        <v>0</v>
      </c>
      <c r="V76" s="136">
        <f t="shared" si="10"/>
        <v>0</v>
      </c>
      <c r="W76" s="136">
        <f t="shared" si="108"/>
        <v>0</v>
      </c>
      <c r="X76" s="130">
        <f t="shared" si="34"/>
        <v>0</v>
      </c>
      <c r="Y76" s="129"/>
      <c r="Z76" s="136"/>
      <c r="AA76" s="136"/>
      <c r="AB76" s="136"/>
      <c r="AC76" s="129"/>
      <c r="AD76" s="136"/>
      <c r="AE76" s="136"/>
      <c r="AF76" s="136"/>
      <c r="AG76" s="129"/>
      <c r="AH76" s="136"/>
      <c r="AI76" s="136"/>
      <c r="AJ76" s="136"/>
      <c r="AK76" s="129"/>
      <c r="AL76" s="136"/>
      <c r="AM76" s="136"/>
      <c r="AN76" s="136"/>
      <c r="AO76" s="165"/>
    </row>
    <row r="77" spans="1:41" s="1" customFormat="1" ht="13.2" hidden="1" customHeight="1" x14ac:dyDescent="0.25">
      <c r="A77" s="9"/>
      <c r="B77" s="134"/>
      <c r="C77" s="134"/>
      <c r="D77" s="51"/>
      <c r="E77" s="52"/>
      <c r="F77" s="134"/>
      <c r="G77" s="136"/>
      <c r="H77" s="136"/>
      <c r="I77" s="136"/>
      <c r="J77" s="129" t="str">
        <f t="shared" si="152"/>
        <v/>
      </c>
      <c r="K77" s="129"/>
      <c r="L77" s="129"/>
      <c r="M77" s="129"/>
      <c r="N77" s="130"/>
      <c r="O77" s="136"/>
      <c r="P77" s="136">
        <f t="shared" si="106"/>
        <v>0</v>
      </c>
      <c r="Q77" s="136">
        <f t="shared" si="107"/>
        <v>0</v>
      </c>
      <c r="R77" s="136">
        <f t="shared" si="6"/>
        <v>0</v>
      </c>
      <c r="S77" s="136">
        <f t="shared" si="7"/>
        <v>0</v>
      </c>
      <c r="T77" s="136">
        <f t="shared" si="8"/>
        <v>0</v>
      </c>
      <c r="U77" s="136">
        <f t="shared" si="9"/>
        <v>0</v>
      </c>
      <c r="V77" s="136">
        <f t="shared" si="10"/>
        <v>0</v>
      </c>
      <c r="W77" s="136">
        <f t="shared" si="108"/>
        <v>0</v>
      </c>
      <c r="X77" s="130">
        <f t="shared" si="34"/>
        <v>0</v>
      </c>
      <c r="Y77" s="129"/>
      <c r="Z77" s="136"/>
      <c r="AA77" s="136"/>
      <c r="AB77" s="136"/>
      <c r="AC77" s="129"/>
      <c r="AD77" s="136"/>
      <c r="AE77" s="136"/>
      <c r="AF77" s="136"/>
      <c r="AG77" s="129"/>
      <c r="AH77" s="136"/>
      <c r="AI77" s="136"/>
      <c r="AJ77" s="136"/>
      <c r="AK77" s="129"/>
      <c r="AL77" s="136"/>
      <c r="AM77" s="136"/>
      <c r="AN77" s="136"/>
      <c r="AO77" s="165"/>
    </row>
    <row r="78" spans="1:41" x14ac:dyDescent="0.25">
      <c r="B78" s="63"/>
      <c r="C78" s="63"/>
      <c r="D78" s="63"/>
      <c r="E78" s="63"/>
      <c r="F78" s="63"/>
      <c r="G78" s="81"/>
      <c r="H78" s="81"/>
      <c r="I78" s="81"/>
      <c r="J78" s="129" t="str">
        <f>IF(J79="*","*","")</f>
        <v>*</v>
      </c>
      <c r="L78" s="129"/>
      <c r="M78" s="129"/>
      <c r="N78" s="130"/>
      <c r="O78" s="136"/>
      <c r="P78" s="136">
        <f t="shared" si="106"/>
        <v>0</v>
      </c>
      <c r="Q78" s="136">
        <f t="shared" si="107"/>
        <v>0</v>
      </c>
      <c r="R78" s="136">
        <f t="shared" si="6"/>
        <v>0</v>
      </c>
      <c r="S78" s="136">
        <f t="shared" si="7"/>
        <v>0</v>
      </c>
      <c r="T78" s="136">
        <f t="shared" si="8"/>
        <v>0</v>
      </c>
      <c r="U78" s="136">
        <f t="shared" si="9"/>
        <v>0</v>
      </c>
      <c r="V78" s="136">
        <f t="shared" si="10"/>
        <v>0</v>
      </c>
      <c r="W78" s="136">
        <f t="shared" si="108"/>
        <v>0</v>
      </c>
      <c r="X78" s="130">
        <f t="shared" si="34"/>
        <v>0</v>
      </c>
      <c r="Z78" s="81"/>
      <c r="AA78" s="81"/>
      <c r="AB78" s="81"/>
      <c r="AD78" s="81"/>
      <c r="AE78" s="81"/>
      <c r="AF78" s="81"/>
      <c r="AH78" s="81"/>
      <c r="AI78" s="81"/>
      <c r="AJ78" s="81"/>
      <c r="AL78" s="81"/>
      <c r="AM78" s="81"/>
      <c r="AN78" s="81"/>
      <c r="AO78" s="165"/>
    </row>
    <row r="79" spans="1:41" ht="15" customHeight="1" x14ac:dyDescent="0.25">
      <c r="F79" s="85" t="s">
        <v>37</v>
      </c>
      <c r="G79" s="86">
        <f>SUM(G19:G78)</f>
        <v>5105541.3397280145</v>
      </c>
      <c r="H79" s="86">
        <f>SUM(H19:H78)</f>
        <v>2838969.2362233647</v>
      </c>
      <c r="I79" s="86">
        <f>SUM(I19:I78)</f>
        <v>2266572.1035046494</v>
      </c>
      <c r="J79" s="129" t="str">
        <f>IF(G79&gt;0.49,"*","")</f>
        <v>*</v>
      </c>
      <c r="L79" s="129"/>
      <c r="M79" s="129"/>
      <c r="N79" s="130"/>
      <c r="O79" s="86">
        <f t="shared" ref="O79:X79" si="153">SUM(O19:O78)</f>
        <v>0</v>
      </c>
      <c r="P79" s="86">
        <f t="shared" si="153"/>
        <v>0</v>
      </c>
      <c r="Q79" s="86">
        <f t="shared" si="153"/>
        <v>0</v>
      </c>
      <c r="R79" s="86">
        <f t="shared" si="153"/>
        <v>186813</v>
      </c>
      <c r="S79" s="86">
        <f t="shared" ref="S79:U79" si="154">SUM(S19:S78)</f>
        <v>98541</v>
      </c>
      <c r="T79" s="86">
        <f t="shared" ref="T79" si="155">SUM(T19:T78)</f>
        <v>143760.31</v>
      </c>
      <c r="U79" s="86">
        <f t="shared" si="154"/>
        <v>45064.17</v>
      </c>
      <c r="V79" s="86">
        <f t="shared" si="153"/>
        <v>120750</v>
      </c>
      <c r="W79" s="86">
        <f t="shared" si="153"/>
        <v>337224.85268249782</v>
      </c>
      <c r="X79" s="86">
        <f t="shared" si="153"/>
        <v>337224.85268249782</v>
      </c>
      <c r="Z79" s="86" t="e">
        <f>SUM(Z19:Z78)</f>
        <v>#REF!</v>
      </c>
      <c r="AA79" s="86" t="e">
        <f>SUM(AA19:AA78)</f>
        <v>#REF!</v>
      </c>
      <c r="AB79" s="86" t="e">
        <f>SUM(AB19:AB78)</f>
        <v>#REF!</v>
      </c>
      <c r="AD79" s="86" t="e">
        <f>SUM(AD19:AD78)</f>
        <v>#REF!</v>
      </c>
      <c r="AE79" s="86" t="e">
        <f>SUM(AE19:AE78)</f>
        <v>#REF!</v>
      </c>
      <c r="AF79" s="86" t="e">
        <f>SUM(AF19:AF78)</f>
        <v>#REF!</v>
      </c>
      <c r="AH79" s="86" t="e">
        <f>SUM(AH19:AH78)</f>
        <v>#REF!</v>
      </c>
      <c r="AI79" s="86" t="e">
        <f>SUM(AI19:AI78)</f>
        <v>#REF!</v>
      </c>
      <c r="AJ79" s="86" t="e">
        <f>SUM(AJ19:AJ78)</f>
        <v>#REF!</v>
      </c>
      <c r="AL79" s="86" t="e">
        <f>SUM(AL19:AL78)</f>
        <v>#REF!</v>
      </c>
      <c r="AM79" s="86" t="e">
        <f>SUM(AM19:AM78)</f>
        <v>#REF!</v>
      </c>
      <c r="AN79" s="86" t="e">
        <f>SUM(AN19:AN78)</f>
        <v>#REF!</v>
      </c>
      <c r="AO79" s="165"/>
    </row>
    <row r="80" spans="1:41" x14ac:dyDescent="0.25">
      <c r="F80" s="87"/>
      <c r="J80" s="129" t="str">
        <f>IF(J79="*","*","")</f>
        <v>*</v>
      </c>
      <c r="L80" s="129"/>
      <c r="M80" s="129"/>
      <c r="N80" s="130"/>
      <c r="O80" s="132"/>
      <c r="P80" s="132"/>
      <c r="Q80" s="132"/>
      <c r="R80" s="132"/>
      <c r="S80" s="132"/>
      <c r="T80" s="132"/>
      <c r="U80" s="132"/>
      <c r="V80" s="132"/>
      <c r="W80" s="132"/>
      <c r="X80" s="132"/>
      <c r="AO80" s="165"/>
    </row>
    <row r="81" spans="1:42" x14ac:dyDescent="0.25">
      <c r="F81" s="82" t="s">
        <v>38</v>
      </c>
      <c r="J81" s="129" t="s">
        <v>2</v>
      </c>
      <c r="L81" s="129"/>
      <c r="M81" s="129"/>
      <c r="N81" s="130"/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AO81" s="165"/>
    </row>
    <row r="82" spans="1:42" hidden="1" x14ac:dyDescent="0.25">
      <c r="B82" s="77"/>
      <c r="C82" s="77"/>
      <c r="D82" s="77"/>
      <c r="E82" s="77"/>
      <c r="F82" s="77" t="s">
        <v>39</v>
      </c>
      <c r="H82" s="81"/>
      <c r="I82" s="81"/>
      <c r="J82" s="129"/>
      <c r="L82" s="129"/>
      <c r="M82" s="129"/>
      <c r="N82" s="130"/>
      <c r="O82" s="132"/>
      <c r="P82" s="132"/>
      <c r="Q82" s="132"/>
      <c r="R82" s="132"/>
      <c r="S82" s="132"/>
      <c r="T82" s="132"/>
      <c r="U82" s="132"/>
      <c r="V82" s="132"/>
      <c r="W82" s="132"/>
      <c r="X82" s="132"/>
      <c r="AA82" s="81"/>
      <c r="AB82" s="81"/>
      <c r="AE82" s="81"/>
      <c r="AF82" s="81"/>
      <c r="AI82" s="81"/>
      <c r="AJ82" s="81"/>
      <c r="AM82" s="81"/>
      <c r="AN82" s="81"/>
      <c r="AO82" s="165"/>
    </row>
    <row r="83" spans="1:42" hidden="1" x14ac:dyDescent="0.25">
      <c r="B83" s="77"/>
      <c r="C83" s="77"/>
      <c r="D83" s="77"/>
      <c r="E83" s="77"/>
      <c r="F83" s="77" t="s">
        <v>40</v>
      </c>
      <c r="J83" s="129"/>
      <c r="L83" s="129"/>
      <c r="M83" s="129"/>
      <c r="N83" s="130"/>
      <c r="O83" s="132"/>
      <c r="P83" s="132"/>
      <c r="Q83" s="132"/>
      <c r="R83" s="132"/>
      <c r="S83" s="132"/>
      <c r="T83" s="132"/>
      <c r="U83" s="132"/>
      <c r="V83" s="132"/>
      <c r="W83" s="132"/>
      <c r="X83" s="132"/>
      <c r="AO83" s="165"/>
    </row>
    <row r="84" spans="1:42" x14ac:dyDescent="0.25">
      <c r="B84" s="77"/>
      <c r="C84" s="77"/>
      <c r="D84" s="77"/>
      <c r="E84" s="77"/>
      <c r="H84" s="81"/>
      <c r="I84" s="81"/>
      <c r="J84" s="129" t="s">
        <v>2</v>
      </c>
      <c r="L84" s="129"/>
      <c r="M84" s="129"/>
      <c r="N84" s="130"/>
      <c r="O84" s="132"/>
      <c r="P84" s="132"/>
      <c r="Q84" s="132"/>
      <c r="R84" s="132"/>
      <c r="S84" s="132"/>
      <c r="T84" s="132"/>
      <c r="U84" s="132"/>
      <c r="V84" s="132"/>
      <c r="W84" s="132"/>
      <c r="X84" s="132"/>
      <c r="AA84" s="81"/>
      <c r="AB84" s="81"/>
      <c r="AE84" s="81"/>
      <c r="AF84" s="81"/>
      <c r="AI84" s="81"/>
      <c r="AJ84" s="81"/>
      <c r="AM84" s="81"/>
      <c r="AN84" s="81"/>
      <c r="AO84" s="165"/>
    </row>
    <row r="85" spans="1:42" x14ac:dyDescent="0.25">
      <c r="A85" s="100">
        <v>1</v>
      </c>
      <c r="B85" s="99">
        <v>100</v>
      </c>
      <c r="C85" s="99">
        <v>4000</v>
      </c>
      <c r="D85" s="99">
        <v>5100</v>
      </c>
      <c r="E85" s="99">
        <v>120</v>
      </c>
      <c r="F85" s="99" t="s">
        <v>41</v>
      </c>
      <c r="G85" s="103">
        <f>+'Payroll Input'!H48-G86-G87</f>
        <v>1061848</v>
      </c>
      <c r="H85" s="103">
        <f>+SUM('Payroll Input'!H14:H33)-H86-H87</f>
        <v>737548</v>
      </c>
      <c r="I85" s="103">
        <f>+SUM('Payroll Input'!H34:H47)-I86-I87</f>
        <v>324300</v>
      </c>
      <c r="J85" s="129" t="str">
        <f t="shared" ref="J85:J135" si="156">IF(G85&gt;0.49,"*","")</f>
        <v>*</v>
      </c>
      <c r="L85" s="132">
        <f>IF(E85&lt;300,G85,0)</f>
        <v>1061848</v>
      </c>
      <c r="M85" s="132">
        <f t="shared" ref="M85:M147" si="157">IF(E85&gt;299,G85,0)</f>
        <v>0</v>
      </c>
      <c r="N85" s="130"/>
      <c r="O85" s="136"/>
      <c r="P85" s="136">
        <f t="shared" ref="P85:P135" si="158">IF(B85=490,G85,0)</f>
        <v>0</v>
      </c>
      <c r="Q85" s="136">
        <f t="shared" ref="Q85:Q147" si="159">IF(B85=410,H85,0)</f>
        <v>0</v>
      </c>
      <c r="R85" s="136">
        <f t="shared" ref="R85:R147" si="160">IF(B85=432,H85,0)</f>
        <v>0</v>
      </c>
      <c r="S85" s="136">
        <f t="shared" ref="S85:S166" si="161">IF(B85=432,I85,0)</f>
        <v>0</v>
      </c>
      <c r="T85" s="136">
        <f t="shared" ref="T85:U150" si="162">IF($B85=435,H85,0)</f>
        <v>0</v>
      </c>
      <c r="U85" s="136">
        <f t="shared" si="162"/>
        <v>0</v>
      </c>
      <c r="V85" s="136">
        <f t="shared" ref="V85:V147" si="163">IF(B85=360,I85,0)</f>
        <v>0</v>
      </c>
      <c r="W85" s="136">
        <f t="shared" ref="W85:W147" si="164">IF(B85=410,I85,0)</f>
        <v>0</v>
      </c>
      <c r="X85" s="130">
        <f t="shared" si="34"/>
        <v>0</v>
      </c>
      <c r="Z85" s="103">
        <f>AA85+AB85</f>
        <v>1269832.9366666668</v>
      </c>
      <c r="AA85" s="103">
        <f>+H85/H$11*AA$11*Inf</f>
        <v>807000.43666666676</v>
      </c>
      <c r="AB85" s="103">
        <f>+I85/I$11*AB$11*Inf</f>
        <v>462832.5</v>
      </c>
      <c r="AD85" s="103">
        <f>AE85+AF85</f>
        <v>1282531.2660333333</v>
      </c>
      <c r="AE85" s="103">
        <f>+AA85/AA$11*AE$11*Inf</f>
        <v>815070.44103333342</v>
      </c>
      <c r="AF85" s="103">
        <f>+AB85/AB$11*AF$11*Inf</f>
        <v>467460.82499999995</v>
      </c>
      <c r="AH85" s="103">
        <f>AI85+AJ85</f>
        <v>1394999.3924393335</v>
      </c>
      <c r="AI85" s="103">
        <f>+AE85/AE$11*AI$11*Inf</f>
        <v>886545.84893933346</v>
      </c>
      <c r="AJ85" s="103">
        <f>+AF85/AF$11*AJ$11*Inf</f>
        <v>508453.54349999997</v>
      </c>
      <c r="AL85" s="103">
        <f>AM85+AN85</f>
        <v>1408949.3863637268</v>
      </c>
      <c r="AM85" s="103">
        <f>+AI85/AI$11*AM$11*Inf</f>
        <v>895411.30742872681</v>
      </c>
      <c r="AN85" s="103">
        <f>+AJ85/AJ$11*AN$11*Inf</f>
        <v>513538.07893499994</v>
      </c>
      <c r="AO85" s="165" t="s">
        <v>42</v>
      </c>
      <c r="AP85" s="221"/>
    </row>
    <row r="86" spans="1:42" x14ac:dyDescent="0.25">
      <c r="A86" s="100">
        <v>1</v>
      </c>
      <c r="B86" s="99">
        <v>432</v>
      </c>
      <c r="C86" s="99">
        <v>4000</v>
      </c>
      <c r="D86" s="99">
        <v>5100</v>
      </c>
      <c r="E86" s="99">
        <v>120</v>
      </c>
      <c r="F86" s="99" t="s">
        <v>41</v>
      </c>
      <c r="G86" s="103">
        <f>+H86+I86</f>
        <v>48000</v>
      </c>
      <c r="H86" s="103">
        <v>48000</v>
      </c>
      <c r="I86" s="103">
        <v>0</v>
      </c>
      <c r="J86" s="129" t="str">
        <f t="shared" ref="J86" si="165">IF(G86&gt;0.49,"*","")</f>
        <v>*</v>
      </c>
      <c r="L86" s="132">
        <f t="shared" ref="L86" si="166">IF(E86&lt;300,G86,0)</f>
        <v>48000</v>
      </c>
      <c r="M86" s="132">
        <f t="shared" ref="M86" si="167">IF(E86&gt;299,G86,0)</f>
        <v>0</v>
      </c>
      <c r="N86" s="130"/>
      <c r="O86" s="136"/>
      <c r="P86" s="136">
        <f t="shared" ref="P86" si="168">IF(B86=490,G86,0)</f>
        <v>0</v>
      </c>
      <c r="Q86" s="136">
        <f t="shared" ref="Q86" si="169">IF(B86=410,H86,0)</f>
        <v>0</v>
      </c>
      <c r="R86" s="136">
        <f t="shared" ref="R86" si="170">IF(B86=432,H86,0)</f>
        <v>48000</v>
      </c>
      <c r="S86" s="136">
        <f t="shared" si="161"/>
        <v>0</v>
      </c>
      <c r="T86" s="136">
        <f t="shared" si="162"/>
        <v>0</v>
      </c>
      <c r="U86" s="136">
        <f t="shared" si="162"/>
        <v>0</v>
      </c>
      <c r="V86" s="136">
        <f t="shared" ref="V86" si="171">IF(B86=360,I86,0)</f>
        <v>0</v>
      </c>
      <c r="W86" s="136">
        <f t="shared" ref="W86" si="172">IF(B86=410,I86,0)</f>
        <v>0</v>
      </c>
      <c r="X86" s="130">
        <f t="shared" ref="X86" si="173">+W86+Q86-O86</f>
        <v>0</v>
      </c>
      <c r="Z86" s="103">
        <f t="shared" ref="Z86" si="174">AA86+AB86</f>
        <v>48480</v>
      </c>
      <c r="AA86" s="103">
        <f>+H86*Inf</f>
        <v>48480</v>
      </c>
      <c r="AB86" s="103">
        <f>+I86*Inf</f>
        <v>0</v>
      </c>
      <c r="AD86" s="103">
        <f t="shared" ref="AD86" si="175">AE86+AF86</f>
        <v>48964.800000000003</v>
      </c>
      <c r="AE86" s="103">
        <f>+AA86*Inf</f>
        <v>48964.800000000003</v>
      </c>
      <c r="AF86" s="103">
        <f>+AB86*Inf</f>
        <v>0</v>
      </c>
      <c r="AH86" s="103">
        <f t="shared" ref="AH86" si="176">AI86+AJ86</f>
        <v>49454.448000000004</v>
      </c>
      <c r="AI86" s="103">
        <f>+AE86*Inf</f>
        <v>49454.448000000004</v>
      </c>
      <c r="AJ86" s="103">
        <f>+AF86*Inf</f>
        <v>0</v>
      </c>
      <c r="AL86" s="103">
        <f t="shared" ref="AL86" si="177">AM86+AN86</f>
        <v>49948.992480000008</v>
      </c>
      <c r="AM86" s="103">
        <f>+AI86*Inf</f>
        <v>49948.992480000008</v>
      </c>
      <c r="AN86" s="103">
        <f>+AJ86*Inf</f>
        <v>0</v>
      </c>
      <c r="AO86" s="165" t="s">
        <v>35</v>
      </c>
      <c r="AP86" s="221"/>
    </row>
    <row r="87" spans="1:42" x14ac:dyDescent="0.25">
      <c r="A87" s="100">
        <v>1</v>
      </c>
      <c r="B87" s="99">
        <v>435</v>
      </c>
      <c r="C87" s="99">
        <v>4000</v>
      </c>
      <c r="D87" s="99">
        <v>5100</v>
      </c>
      <c r="E87" s="99">
        <v>120</v>
      </c>
      <c r="F87" s="99" t="s">
        <v>41</v>
      </c>
      <c r="G87" s="103">
        <f>+H87+I87</f>
        <v>163500</v>
      </c>
      <c r="H87" s="103">
        <f>+'Revenue Input'!P53</f>
        <v>126100</v>
      </c>
      <c r="I87" s="103">
        <f>+'Revenue Input'!Q53</f>
        <v>37400</v>
      </c>
      <c r="J87" s="129" t="str">
        <f t="shared" ref="J87:J88" si="178">IF(G87&gt;0.49,"*","")</f>
        <v>*</v>
      </c>
      <c r="L87" s="132">
        <f t="shared" ref="L87:L88" si="179">IF(E87&lt;300,G87,0)</f>
        <v>163500</v>
      </c>
      <c r="M87" s="132">
        <f t="shared" ref="M87:M88" si="180">IF(E87&gt;299,G87,0)</f>
        <v>0</v>
      </c>
      <c r="N87" s="130"/>
      <c r="O87" s="136"/>
      <c r="P87" s="136">
        <f t="shared" ref="P87:P88" si="181">IF(B87=490,G87,0)</f>
        <v>0</v>
      </c>
      <c r="Q87" s="136">
        <f t="shared" ref="Q87:Q88" si="182">IF(B87=410,H87,0)</f>
        <v>0</v>
      </c>
      <c r="R87" s="136">
        <f t="shared" ref="R87:R88" si="183">IF(B87=432,H87,0)</f>
        <v>0</v>
      </c>
      <c r="S87" s="136">
        <f t="shared" ref="S87:S88" si="184">IF(B87=432,I87,0)</f>
        <v>0</v>
      </c>
      <c r="T87" s="136">
        <f t="shared" si="162"/>
        <v>126100</v>
      </c>
      <c r="U87" s="136">
        <f t="shared" si="162"/>
        <v>37400</v>
      </c>
      <c r="V87" s="136">
        <f t="shared" ref="V87:V88" si="185">IF(B87=360,I87,0)</f>
        <v>0</v>
      </c>
      <c r="W87" s="136">
        <f t="shared" ref="W87:W88" si="186">IF(B87=410,I87,0)</f>
        <v>0</v>
      </c>
      <c r="X87" s="130">
        <f t="shared" ref="X87:X88" si="187">+W87+Q87-O87</f>
        <v>0</v>
      </c>
      <c r="Z87" s="103">
        <f t="shared" ref="Z87" si="188">AA87+AB87</f>
        <v>165135</v>
      </c>
      <c r="AA87" s="103">
        <f>+H87*Inf</f>
        <v>127361</v>
      </c>
      <c r="AB87" s="103">
        <f>+I87*Inf</f>
        <v>37774</v>
      </c>
      <c r="AD87" s="103">
        <f t="shared" ref="AD87" si="189">AE87+AF87</f>
        <v>166786.35</v>
      </c>
      <c r="AE87" s="103">
        <f>+AA87*Inf</f>
        <v>128634.61</v>
      </c>
      <c r="AF87" s="103">
        <f>+AB87*Inf</f>
        <v>38151.74</v>
      </c>
      <c r="AH87" s="103">
        <f t="shared" ref="AH87" si="190">AI87+AJ87</f>
        <v>168454.21349999998</v>
      </c>
      <c r="AI87" s="103">
        <f>+AE87*Inf</f>
        <v>129920.9561</v>
      </c>
      <c r="AJ87" s="103">
        <f>+AF87*Inf</f>
        <v>38533.257399999995</v>
      </c>
      <c r="AL87" s="103">
        <f t="shared" ref="AL87" si="191">AM87+AN87</f>
        <v>170138.75563500001</v>
      </c>
      <c r="AM87" s="103">
        <f>+AI87*Inf</f>
        <v>131220.16566100001</v>
      </c>
      <c r="AN87" s="103">
        <f>+AJ87*Inf</f>
        <v>38918.589973999995</v>
      </c>
      <c r="AO87" s="165" t="s">
        <v>35</v>
      </c>
      <c r="AP87" s="221"/>
    </row>
    <row r="88" spans="1:42" x14ac:dyDescent="0.25">
      <c r="A88" s="100">
        <v>1</v>
      </c>
      <c r="B88" s="99">
        <v>100</v>
      </c>
      <c r="C88" s="99">
        <v>4000</v>
      </c>
      <c r="D88" s="99">
        <v>5100</v>
      </c>
      <c r="E88" s="99">
        <v>140</v>
      </c>
      <c r="F88" s="99" t="s">
        <v>43</v>
      </c>
      <c r="G88" s="103">
        <f>+'Payroll Input'!$H$60</f>
        <v>166831.304</v>
      </c>
      <c r="H88" s="103">
        <f>SUM('Payroll Input'!H52:H55)</f>
        <v>103331.304</v>
      </c>
      <c r="I88" s="103">
        <f>SUM('Payroll Input'!F57:F59)</f>
        <v>63500</v>
      </c>
      <c r="J88" s="129" t="str">
        <f t="shared" si="178"/>
        <v>*</v>
      </c>
      <c r="L88" s="132">
        <f t="shared" si="179"/>
        <v>166831.304</v>
      </c>
      <c r="M88" s="132">
        <f t="shared" si="180"/>
        <v>0</v>
      </c>
      <c r="N88" s="130"/>
      <c r="O88" s="136"/>
      <c r="P88" s="136">
        <f t="shared" si="181"/>
        <v>0</v>
      </c>
      <c r="Q88" s="136">
        <f t="shared" si="182"/>
        <v>0</v>
      </c>
      <c r="R88" s="136">
        <f t="shared" si="183"/>
        <v>0</v>
      </c>
      <c r="S88" s="136">
        <f t="shared" si="184"/>
        <v>0</v>
      </c>
      <c r="T88" s="136">
        <f t="shared" ref="T88" si="192">IF($B88=435,H88,0)</f>
        <v>0</v>
      </c>
      <c r="U88" s="136">
        <f t="shared" ref="U88" si="193">IF($B88=435,I88,0)</f>
        <v>0</v>
      </c>
      <c r="V88" s="136">
        <f t="shared" si="185"/>
        <v>0</v>
      </c>
      <c r="W88" s="136">
        <f t="shared" si="186"/>
        <v>0</v>
      </c>
      <c r="X88" s="130">
        <f t="shared" si="187"/>
        <v>0</v>
      </c>
      <c r="Z88" s="103">
        <f>AA88+AB88</f>
        <v>203687.21193826088</v>
      </c>
      <c r="AA88" s="103">
        <f>+H88/H$11*AA$11*Inf</f>
        <v>113061.66846</v>
      </c>
      <c r="AB88" s="103">
        <f>+I88/I$11*AB$11*Inf</f>
        <v>90625.543478260865</v>
      </c>
      <c r="AD88" s="103">
        <f>AE88+AF88</f>
        <v>205724.08405764349</v>
      </c>
      <c r="AE88" s="103">
        <f>+AA88/AA$11*AE$11*Inf</f>
        <v>114192.2851446</v>
      </c>
      <c r="AF88" s="103">
        <f>+AB88/AB$11*AF$11*Inf</f>
        <v>91531.798913043473</v>
      </c>
      <c r="AH88" s="103">
        <f>AI88+AJ88</f>
        <v>223764.50373654452</v>
      </c>
      <c r="AI88" s="103">
        <f>+AE88/AE$11*AI$11*Inf</f>
        <v>124206.07014958799</v>
      </c>
      <c r="AJ88" s="103">
        <f>+AF88/AF$11*AJ$11*Inf</f>
        <v>99558.433586956511</v>
      </c>
      <c r="AL88" s="103">
        <f>AM88+AN88</f>
        <v>226002.14877390995</v>
      </c>
      <c r="AM88" s="103">
        <f>+AI88/AI$11*AM$11*Inf</f>
        <v>125448.13085108387</v>
      </c>
      <c r="AN88" s="103">
        <f>+AJ88/AJ$11*AN$11*Inf</f>
        <v>100554.01792282608</v>
      </c>
      <c r="AO88" s="165" t="s">
        <v>42</v>
      </c>
      <c r="AP88" s="221"/>
    </row>
    <row r="89" spans="1:42" x14ac:dyDescent="0.25">
      <c r="A89" s="100">
        <v>1</v>
      </c>
      <c r="B89" s="99">
        <v>100</v>
      </c>
      <c r="C89" s="99">
        <v>4000</v>
      </c>
      <c r="D89" s="99">
        <v>5100</v>
      </c>
      <c r="E89" s="99">
        <v>150</v>
      </c>
      <c r="F89" s="99" t="s">
        <v>44</v>
      </c>
      <c r="G89" s="103">
        <f>+'Payroll Input'!H74-G90-G91</f>
        <v>32802.279295999993</v>
      </c>
      <c r="H89" s="103">
        <f>SUM('Payroll Input'!H63:H69)-H90-H91</f>
        <v>25984</v>
      </c>
      <c r="I89" s="103">
        <f>SUM('Payroll Input'!H71:H73)-I90-I91</f>
        <v>6818.2792960000006</v>
      </c>
      <c r="J89" s="129" t="str">
        <f t="shared" si="156"/>
        <v>*</v>
      </c>
      <c r="L89" s="132">
        <f t="shared" ref="L89:L214" si="194">IF(E89&lt;300,G89,0)</f>
        <v>32802.279295999993</v>
      </c>
      <c r="M89" s="132">
        <f t="shared" si="157"/>
        <v>0</v>
      </c>
      <c r="N89" s="130"/>
      <c r="O89" s="136"/>
      <c r="P89" s="136">
        <f t="shared" si="158"/>
        <v>0</v>
      </c>
      <c r="Q89" s="136">
        <f t="shared" si="159"/>
        <v>0</v>
      </c>
      <c r="R89" s="136">
        <f t="shared" si="160"/>
        <v>0</v>
      </c>
      <c r="S89" s="136">
        <f t="shared" si="161"/>
        <v>0</v>
      </c>
      <c r="T89" s="136">
        <f t="shared" si="162"/>
        <v>0</v>
      </c>
      <c r="U89" s="136">
        <f t="shared" si="162"/>
        <v>0</v>
      </c>
      <c r="V89" s="136">
        <f t="shared" si="163"/>
        <v>0</v>
      </c>
      <c r="W89" s="136">
        <f t="shared" si="164"/>
        <v>0</v>
      </c>
      <c r="X89" s="130">
        <f t="shared" si="34"/>
        <v>0</v>
      </c>
      <c r="Z89" s="103">
        <f>AA89+AB89</f>
        <v>38161.69700976232</v>
      </c>
      <c r="AA89" s="103">
        <f>+H89/H$11*AA$11*Inf</f>
        <v>28430.826666666664</v>
      </c>
      <c r="AB89" s="103">
        <f>+I89/I$11*AB$11*Inf</f>
        <v>9730.8703430956539</v>
      </c>
      <c r="AD89" s="103">
        <f>AE89+AF89</f>
        <v>38543.313979859937</v>
      </c>
      <c r="AE89" s="103">
        <f>+AA89/AA$11*AE$11*Inf</f>
        <v>28715.134933333327</v>
      </c>
      <c r="AF89" s="103">
        <f>+AB89/AB$11*AF$11*Inf</f>
        <v>9828.1790465266113</v>
      </c>
      <c r="AH89" s="103">
        <f>AI89+AJ89</f>
        <v>41923.266128863041</v>
      </c>
      <c r="AI89" s="103">
        <f>+AE89/AE$11*AI$11*Inf</f>
        <v>31233.231381333328</v>
      </c>
      <c r="AJ89" s="103">
        <f>+AF89/AF$11*AJ$11*Inf</f>
        <v>10690.034747529715</v>
      </c>
      <c r="AL89" s="103">
        <f>AM89+AN89</f>
        <v>42342.498790151672</v>
      </c>
      <c r="AM89" s="103">
        <f>+AI89/AI$11*AM$11*Inf</f>
        <v>31545.563695146659</v>
      </c>
      <c r="AN89" s="103">
        <f>+AJ89/AJ$11*AN$11*Inf</f>
        <v>10796.935095005012</v>
      </c>
      <c r="AO89" s="165" t="s">
        <v>42</v>
      </c>
      <c r="AP89" s="221"/>
    </row>
    <row r="90" spans="1:42" x14ac:dyDescent="0.25">
      <c r="A90" s="100">
        <v>1</v>
      </c>
      <c r="B90" s="99">
        <v>432</v>
      </c>
      <c r="C90" s="99">
        <v>4000</v>
      </c>
      <c r="D90" s="99">
        <v>5100</v>
      </c>
      <c r="E90" s="99">
        <v>150</v>
      </c>
      <c r="F90" s="99" t="s">
        <v>44</v>
      </c>
      <c r="G90" s="103">
        <f>+H90+I90</f>
        <v>75154</v>
      </c>
      <c r="H90" s="103">
        <f>16468*3+17750</f>
        <v>67154</v>
      </c>
      <c r="I90" s="103">
        <v>8000</v>
      </c>
      <c r="J90" s="129" t="str">
        <f t="shared" ref="J90:J91" si="195">IF(G90&gt;0.49,"*","")</f>
        <v>*</v>
      </c>
      <c r="L90" s="132">
        <f t="shared" ref="L90:L91" si="196">IF(E90&lt;300,G90,0)</f>
        <v>75154</v>
      </c>
      <c r="M90" s="132">
        <f t="shared" ref="M90:M91" si="197">IF(E90&gt;299,G90,0)</f>
        <v>0</v>
      </c>
      <c r="N90" s="130"/>
      <c r="O90" s="136"/>
      <c r="P90" s="136">
        <f t="shared" ref="P90:P91" si="198">IF(B90=490,G90,0)</f>
        <v>0</v>
      </c>
      <c r="Q90" s="136">
        <f t="shared" ref="Q90:Q91" si="199">IF(B90=410,H90,0)</f>
        <v>0</v>
      </c>
      <c r="R90" s="136">
        <f t="shared" ref="R90:R91" si="200">IF(B90=432,H90,0)</f>
        <v>67154</v>
      </c>
      <c r="S90" s="136">
        <f t="shared" si="161"/>
        <v>8000</v>
      </c>
      <c r="T90" s="136">
        <f t="shared" si="162"/>
        <v>0</v>
      </c>
      <c r="U90" s="136">
        <f t="shared" si="162"/>
        <v>0</v>
      </c>
      <c r="V90" s="136">
        <f t="shared" ref="V90:V91" si="201">IF(B90=360,I90,0)</f>
        <v>0</v>
      </c>
      <c r="W90" s="136">
        <f t="shared" ref="W90:W91" si="202">IF(B90=410,I90,0)</f>
        <v>0</v>
      </c>
      <c r="X90" s="130">
        <f t="shared" ref="X90:X91" si="203">+W90+Q90-O90</f>
        <v>0</v>
      </c>
      <c r="Z90" s="103">
        <f t="shared" ref="Z90:Z106" si="204">AA90+AB90</f>
        <v>75905.539999999994</v>
      </c>
      <c r="AA90" s="103">
        <f>+H90*Inf</f>
        <v>67825.539999999994</v>
      </c>
      <c r="AB90" s="103">
        <f>+I90*Inf</f>
        <v>8080</v>
      </c>
      <c r="AD90" s="103">
        <f t="shared" ref="AD90:AD106" si="205">AE90+AF90</f>
        <v>76664.595399999991</v>
      </c>
      <c r="AE90" s="103">
        <f>+AA90*Inf</f>
        <v>68503.795399999988</v>
      </c>
      <c r="AF90" s="103">
        <f>+AB90*Inf</f>
        <v>8160.8</v>
      </c>
      <c r="AH90" s="103">
        <f t="shared" ref="AH90:AH106" si="206">AI90+AJ90</f>
        <v>77431.241353999983</v>
      </c>
      <c r="AI90" s="103">
        <f>+AE90*Inf</f>
        <v>69188.833353999988</v>
      </c>
      <c r="AJ90" s="103">
        <f>+AF90*Inf</f>
        <v>8242.4079999999994</v>
      </c>
      <c r="AL90" s="103">
        <f t="shared" ref="AL90:AL106" si="207">AM90+AN90</f>
        <v>78205.553767539997</v>
      </c>
      <c r="AM90" s="103">
        <f>+AI90*Inf</f>
        <v>69880.72168753999</v>
      </c>
      <c r="AN90" s="103">
        <f>+AJ90*Inf</f>
        <v>8324.8320800000001</v>
      </c>
      <c r="AO90" s="165" t="s">
        <v>35</v>
      </c>
      <c r="AP90" s="221"/>
    </row>
    <row r="91" spans="1:42" hidden="1" x14ac:dyDescent="0.25">
      <c r="A91" s="100">
        <v>1</v>
      </c>
      <c r="B91" s="99">
        <v>435</v>
      </c>
      <c r="C91" s="99">
        <v>4000</v>
      </c>
      <c r="D91" s="99">
        <v>5100</v>
      </c>
      <c r="E91" s="99">
        <v>150</v>
      </c>
      <c r="F91" s="99" t="s">
        <v>44</v>
      </c>
      <c r="G91" s="103">
        <f>+H91+I91</f>
        <v>0</v>
      </c>
      <c r="H91" s="103">
        <v>0</v>
      </c>
      <c r="I91" s="103">
        <v>0</v>
      </c>
      <c r="J91" s="129" t="str">
        <f t="shared" si="195"/>
        <v/>
      </c>
      <c r="L91" s="132">
        <f t="shared" si="196"/>
        <v>0</v>
      </c>
      <c r="M91" s="132">
        <f t="shared" si="197"/>
        <v>0</v>
      </c>
      <c r="N91" s="130"/>
      <c r="O91" s="136"/>
      <c r="P91" s="136">
        <f t="shared" si="198"/>
        <v>0</v>
      </c>
      <c r="Q91" s="136">
        <f t="shared" si="199"/>
        <v>0</v>
      </c>
      <c r="R91" s="136">
        <f t="shared" si="200"/>
        <v>0</v>
      </c>
      <c r="S91" s="136">
        <f t="shared" si="161"/>
        <v>0</v>
      </c>
      <c r="T91" s="136">
        <f t="shared" si="162"/>
        <v>0</v>
      </c>
      <c r="U91" s="136">
        <f t="shared" si="162"/>
        <v>0</v>
      </c>
      <c r="V91" s="136">
        <f t="shared" si="201"/>
        <v>0</v>
      </c>
      <c r="W91" s="136">
        <f t="shared" si="202"/>
        <v>0</v>
      </c>
      <c r="X91" s="130">
        <f t="shared" si="203"/>
        <v>0</v>
      </c>
      <c r="Z91" s="103">
        <f t="shared" si="204"/>
        <v>0</v>
      </c>
      <c r="AA91" s="103">
        <f>+H91*Inf</f>
        <v>0</v>
      </c>
      <c r="AB91" s="103">
        <f>+I91*Inf</f>
        <v>0</v>
      </c>
      <c r="AD91" s="103">
        <f t="shared" si="205"/>
        <v>0</v>
      </c>
      <c r="AE91" s="103">
        <f>+AA91*Inf</f>
        <v>0</v>
      </c>
      <c r="AF91" s="103">
        <f>+AB91*Inf</f>
        <v>0</v>
      </c>
      <c r="AH91" s="103">
        <f t="shared" si="206"/>
        <v>0</v>
      </c>
      <c r="AI91" s="103">
        <f>+AE91*Inf</f>
        <v>0</v>
      </c>
      <c r="AJ91" s="103">
        <f>+AF91*Inf</f>
        <v>0</v>
      </c>
      <c r="AL91" s="103">
        <f t="shared" si="207"/>
        <v>0</v>
      </c>
      <c r="AM91" s="103">
        <f>+AI91*Inf</f>
        <v>0</v>
      </c>
      <c r="AN91" s="103">
        <f>+AJ91*Inf</f>
        <v>0</v>
      </c>
      <c r="AO91" s="165" t="s">
        <v>35</v>
      </c>
    </row>
    <row r="92" spans="1:42" s="1" customFormat="1" x14ac:dyDescent="0.25">
      <c r="A92" s="100">
        <v>1</v>
      </c>
      <c r="B92" s="34">
        <v>100</v>
      </c>
      <c r="C92" s="34">
        <v>4000</v>
      </c>
      <c r="D92" s="34">
        <v>5100</v>
      </c>
      <c r="E92" s="34">
        <v>210</v>
      </c>
      <c r="F92" s="34" t="s">
        <v>45</v>
      </c>
      <c r="G92" s="103">
        <f>+'Payroll Input'!I48+'Payroll Input'!I60+'Payroll Input'!I74-G93-G94</f>
        <v>169715.30657055357</v>
      </c>
      <c r="H92" s="103">
        <f>+(SUM('Payroll Input'!$I$14:$I$33,'Payroll Input'!$I$63:$I$69,'Payroll Input'!I52:I55))-H93-H94</f>
        <v>118261.92950639996</v>
      </c>
      <c r="I92" s="103">
        <f>+SUM('Payroll Input'!$I$34:$I$47,'Payroll Input'!$I$71:$I$73,'Payroll Input'!I57:I59)-I93-I94</f>
        <v>51453.377064153596</v>
      </c>
      <c r="J92" s="129" t="str">
        <f t="shared" si="156"/>
        <v>*</v>
      </c>
      <c r="K92" s="129"/>
      <c r="L92" s="132">
        <f t="shared" si="194"/>
        <v>169715.30657055357</v>
      </c>
      <c r="M92" s="132">
        <f t="shared" si="157"/>
        <v>0</v>
      </c>
      <c r="N92" s="130"/>
      <c r="O92" s="136"/>
      <c r="P92" s="136">
        <f t="shared" si="158"/>
        <v>0</v>
      </c>
      <c r="Q92" s="136">
        <f t="shared" si="159"/>
        <v>0</v>
      </c>
      <c r="R92" s="136">
        <f t="shared" si="160"/>
        <v>0</v>
      </c>
      <c r="S92" s="136">
        <f t="shared" si="161"/>
        <v>0</v>
      </c>
      <c r="T92" s="136">
        <f t="shared" si="162"/>
        <v>0</v>
      </c>
      <c r="U92" s="136">
        <f t="shared" si="162"/>
        <v>0</v>
      </c>
      <c r="V92" s="136">
        <f t="shared" si="163"/>
        <v>0</v>
      </c>
      <c r="W92" s="136">
        <f t="shared" si="164"/>
        <v>0</v>
      </c>
      <c r="X92" s="130">
        <f t="shared" si="34"/>
        <v>0</v>
      </c>
      <c r="Y92" s="129"/>
      <c r="Z92" s="103">
        <f t="shared" si="204"/>
        <v>165305.920747469</v>
      </c>
      <c r="AA92" s="103">
        <f>SUM(AA$85:AA$90)*10%-AA93</f>
        <v>105363.95736533336</v>
      </c>
      <c r="AB92" s="103">
        <f>SUM(AB$85:AB$90)*10%-AB93</f>
        <v>59941.963382135647</v>
      </c>
      <c r="AC92" s="129"/>
      <c r="AD92" s="103">
        <f t="shared" si="205"/>
        <v>166958.9799549437</v>
      </c>
      <c r="AE92" s="103">
        <f>SUM(AE$85:AE$90)*10%-AE93</f>
        <v>106417.5969389867</v>
      </c>
      <c r="AF92" s="103">
        <f>SUM(AF$85:AF$90)*10%-AF93</f>
        <v>60541.383015957013</v>
      </c>
      <c r="AG92" s="129"/>
      <c r="AH92" s="103">
        <f t="shared" si="206"/>
        <v>180490.62091381272</v>
      </c>
      <c r="AI92" s="103">
        <f>SUM(AI$85:AI$90)*10%-AI93</f>
        <v>114924.52398316409</v>
      </c>
      <c r="AJ92" s="103">
        <f>SUM(AJ$85:AJ$90)*10%-AJ93</f>
        <v>65566.096930648622</v>
      </c>
      <c r="AK92" s="129"/>
      <c r="AL92" s="103">
        <f t="shared" si="207"/>
        <v>182295.52712295082</v>
      </c>
      <c r="AM92" s="103">
        <f>SUM(AM$85:AM$90)*10%-AM93</f>
        <v>116073.76922299575</v>
      </c>
      <c r="AN92" s="103">
        <f>SUM(AN$85:AN$90)*10%-AN93</f>
        <v>66221.75789995509</v>
      </c>
      <c r="AO92" s="165" t="s">
        <v>46</v>
      </c>
      <c r="AP92" s="110"/>
    </row>
    <row r="93" spans="1:42" s="129" customFormat="1" x14ac:dyDescent="0.25">
      <c r="A93" s="100">
        <v>1</v>
      </c>
      <c r="B93" s="99">
        <v>432</v>
      </c>
      <c r="C93" s="34">
        <v>4000</v>
      </c>
      <c r="D93" s="34">
        <v>5100</v>
      </c>
      <c r="E93" s="34">
        <v>210</v>
      </c>
      <c r="F93" s="34" t="s">
        <v>45</v>
      </c>
      <c r="G93" s="103">
        <f>+H93+I93</f>
        <v>14667.641399999999</v>
      </c>
      <c r="H93" s="103">
        <f>(H86+H90)*11.91%</f>
        <v>13714.841399999999</v>
      </c>
      <c r="I93" s="103">
        <f>(I86+I90)*11.91%</f>
        <v>952.8</v>
      </c>
      <c r="J93" s="129" t="str">
        <f t="shared" ref="J93:J95" si="208">IF(G93&gt;0.49,"*","")</f>
        <v>*</v>
      </c>
      <c r="L93" s="132">
        <f t="shared" ref="L93:L95" si="209">IF(E93&lt;300,G93,0)</f>
        <v>14667.641399999999</v>
      </c>
      <c r="M93" s="132">
        <f t="shared" ref="M93:M95" si="210">IF(E93&gt;299,G93,0)</f>
        <v>0</v>
      </c>
      <c r="N93" s="130"/>
      <c r="O93" s="136"/>
      <c r="P93" s="136">
        <f t="shared" ref="P93:P95" si="211">IF(B93=490,G93,0)</f>
        <v>0</v>
      </c>
      <c r="Q93" s="136">
        <f t="shared" ref="Q93:Q95" si="212">IF(B93=410,H93,0)</f>
        <v>0</v>
      </c>
      <c r="R93" s="136">
        <f t="shared" ref="R93:R95" si="213">IF(B93=432,H93,0)</f>
        <v>13714.841399999999</v>
      </c>
      <c r="S93" s="136">
        <f t="shared" si="161"/>
        <v>952.8</v>
      </c>
      <c r="T93" s="136">
        <f t="shared" si="162"/>
        <v>0</v>
      </c>
      <c r="U93" s="136">
        <f t="shared" si="162"/>
        <v>0</v>
      </c>
      <c r="V93" s="136">
        <f t="shared" ref="V93:V95" si="214">IF(B93=360,I93,0)</f>
        <v>0</v>
      </c>
      <c r="W93" s="136">
        <f t="shared" ref="W93:W95" si="215">IF(B93=410,I93,0)</f>
        <v>0</v>
      </c>
      <c r="X93" s="130">
        <f t="shared" ref="X93:X95" si="216">+W93+Q93-O93</f>
        <v>0</v>
      </c>
      <c r="Z93" s="103">
        <f t="shared" si="204"/>
        <v>14814.317813999998</v>
      </c>
      <c r="AA93" s="103">
        <f>+H93*Inf</f>
        <v>13851.989813999999</v>
      </c>
      <c r="AB93" s="103">
        <f>+I93*Inf</f>
        <v>962.32799999999997</v>
      </c>
      <c r="AC93" s="77"/>
      <c r="AD93" s="103">
        <f t="shared" si="205"/>
        <v>14962.460992139999</v>
      </c>
      <c r="AE93" s="103">
        <f>+AA93*Inf</f>
        <v>13990.509712139999</v>
      </c>
      <c r="AF93" s="103">
        <f>+AB93*Inf</f>
        <v>971.95128</v>
      </c>
      <c r="AG93" s="77"/>
      <c r="AH93" s="103">
        <f t="shared" si="206"/>
        <v>15112.085602061399</v>
      </c>
      <c r="AI93" s="103">
        <f>+AE93*Inf</f>
        <v>14130.4148092614</v>
      </c>
      <c r="AJ93" s="103">
        <f>+AF93*Inf</f>
        <v>981.67079279999996</v>
      </c>
      <c r="AK93" s="77"/>
      <c r="AL93" s="103">
        <f t="shared" si="207"/>
        <v>15263.206458082015</v>
      </c>
      <c r="AM93" s="103">
        <f>+AI93*Inf</f>
        <v>14271.718957354014</v>
      </c>
      <c r="AN93" s="103">
        <f>+AJ93*Inf</f>
        <v>991.48750072799999</v>
      </c>
      <c r="AO93" s="165" t="s">
        <v>35</v>
      </c>
      <c r="AP93" s="110"/>
    </row>
    <row r="94" spans="1:42" s="129" customFormat="1" hidden="1" x14ac:dyDescent="0.25">
      <c r="A94" s="131">
        <v>1</v>
      </c>
      <c r="B94" s="99">
        <v>435</v>
      </c>
      <c r="C94" s="34">
        <v>4000</v>
      </c>
      <c r="D94" s="34">
        <v>5100</v>
      </c>
      <c r="E94" s="34">
        <v>210</v>
      </c>
      <c r="F94" s="34" t="s">
        <v>45</v>
      </c>
      <c r="G94" s="103">
        <f>+H94+I94</f>
        <v>0</v>
      </c>
      <c r="H94" s="103">
        <v>0</v>
      </c>
      <c r="I94" s="103">
        <v>0</v>
      </c>
      <c r="J94" s="129" t="str">
        <f t="shared" ref="J94" si="217">IF(G94&gt;0.49,"*","")</f>
        <v/>
      </c>
      <c r="L94" s="132">
        <f t="shared" ref="L94" si="218">IF(E94&lt;300,G94,0)</f>
        <v>0</v>
      </c>
      <c r="M94" s="132">
        <f t="shared" ref="M94" si="219">IF(E94&gt;299,G94,0)</f>
        <v>0</v>
      </c>
      <c r="N94" s="130"/>
      <c r="O94" s="136"/>
      <c r="P94" s="136">
        <f t="shared" ref="P94" si="220">IF(B94=490,G94,0)</f>
        <v>0</v>
      </c>
      <c r="Q94" s="136">
        <f t="shared" ref="Q94" si="221">IF(B94=410,H94,0)</f>
        <v>0</v>
      </c>
      <c r="R94" s="136">
        <f t="shared" ref="R94" si="222">IF(B94=432,H94,0)</f>
        <v>0</v>
      </c>
      <c r="S94" s="136">
        <f t="shared" ref="S94" si="223">IF(B94=432,I94,0)</f>
        <v>0</v>
      </c>
      <c r="T94" s="136">
        <f t="shared" si="162"/>
        <v>0</v>
      </c>
      <c r="U94" s="136">
        <f t="shared" si="162"/>
        <v>0</v>
      </c>
      <c r="V94" s="136">
        <f t="shared" ref="V94" si="224">IF(B94=360,I94,0)</f>
        <v>0</v>
      </c>
      <c r="W94" s="136">
        <f t="shared" ref="W94" si="225">IF(B94=410,I94,0)</f>
        <v>0</v>
      </c>
      <c r="X94" s="130">
        <f t="shared" ref="X94" si="226">+W94+Q94-O94</f>
        <v>0</v>
      </c>
      <c r="Z94" s="103">
        <f t="shared" ref="Z94" si="227">AA94+AB94</f>
        <v>0</v>
      </c>
      <c r="AA94" s="103">
        <f>+H94*Inf</f>
        <v>0</v>
      </c>
      <c r="AB94" s="103">
        <f>+I94*Inf</f>
        <v>0</v>
      </c>
      <c r="AC94" s="77"/>
      <c r="AD94" s="103">
        <f t="shared" ref="AD94" si="228">AE94+AF94</f>
        <v>0</v>
      </c>
      <c r="AE94" s="103">
        <f>+AA94*Inf</f>
        <v>0</v>
      </c>
      <c r="AF94" s="103">
        <f>+AB94*Inf</f>
        <v>0</v>
      </c>
      <c r="AG94" s="77"/>
      <c r="AH94" s="103">
        <f t="shared" ref="AH94" si="229">AI94+AJ94</f>
        <v>0</v>
      </c>
      <c r="AI94" s="103">
        <f>+AE94*Inf</f>
        <v>0</v>
      </c>
      <c r="AJ94" s="103">
        <f>+AF94*Inf</f>
        <v>0</v>
      </c>
      <c r="AK94" s="77"/>
      <c r="AL94" s="103">
        <f t="shared" ref="AL94" si="230">AM94+AN94</f>
        <v>0</v>
      </c>
      <c r="AM94" s="103">
        <f>+AI94*Inf</f>
        <v>0</v>
      </c>
      <c r="AN94" s="103">
        <f>+AJ94*Inf</f>
        <v>0</v>
      </c>
      <c r="AO94" s="165" t="s">
        <v>35</v>
      </c>
    </row>
    <row r="95" spans="1:42" x14ac:dyDescent="0.25">
      <c r="A95" s="131">
        <v>1</v>
      </c>
      <c r="B95" s="63">
        <v>100</v>
      </c>
      <c r="C95" s="63">
        <v>4000</v>
      </c>
      <c r="D95" s="63">
        <v>5100</v>
      </c>
      <c r="E95" s="63">
        <v>220</v>
      </c>
      <c r="F95" s="63" t="s">
        <v>47</v>
      </c>
      <c r="G95" s="103">
        <f>+'Payroll Input'!K48+'Payroll Input'!K74-G96-G97+('Payroll Input'!$K$60)</f>
        <v>109011.09112214402</v>
      </c>
      <c r="H95" s="103">
        <f>+(SUM('Payroll Input'!$K$14:$K$33,'Payroll Input'!$K$63:$K$69,'Payroll Input'!$K$52:$K$55))-H96-H97</f>
        <v>75961.692756000019</v>
      </c>
      <c r="I95" s="103">
        <f>+SUM('Payroll Input'!$K$34:$K$47,'Payroll Input'!$K$71:$K$73,'Payroll Input'!$K$57:$K$59)-I96-I97</f>
        <v>33049.398366144</v>
      </c>
      <c r="J95" s="129" t="str">
        <f t="shared" si="208"/>
        <v>*</v>
      </c>
      <c r="L95" s="132">
        <f t="shared" si="209"/>
        <v>109011.09112214402</v>
      </c>
      <c r="M95" s="132">
        <f t="shared" si="210"/>
        <v>0</v>
      </c>
      <c r="N95" s="130"/>
      <c r="O95" s="136"/>
      <c r="P95" s="136">
        <f t="shared" si="211"/>
        <v>0</v>
      </c>
      <c r="Q95" s="136">
        <f t="shared" si="212"/>
        <v>0</v>
      </c>
      <c r="R95" s="136">
        <f t="shared" si="213"/>
        <v>0</v>
      </c>
      <c r="S95" s="136">
        <f t="shared" si="161"/>
        <v>0</v>
      </c>
      <c r="T95" s="136">
        <f t="shared" si="162"/>
        <v>0</v>
      </c>
      <c r="U95" s="136">
        <f t="shared" si="162"/>
        <v>0</v>
      </c>
      <c r="V95" s="136">
        <f t="shared" si="214"/>
        <v>0</v>
      </c>
      <c r="W95" s="136">
        <f t="shared" si="215"/>
        <v>0</v>
      </c>
      <c r="X95" s="130">
        <f t="shared" si="216"/>
        <v>0</v>
      </c>
      <c r="Z95" s="103">
        <f t="shared" si="204"/>
        <v>128276.48868952377</v>
      </c>
      <c r="AA95" s="103">
        <f>SUM(AA$85:AA$90)*7.65%-AA96</f>
        <v>82302.825782190004</v>
      </c>
      <c r="AB95" s="103">
        <f>SUM(AB$85:AB$90)*7.65%-AB96</f>
        <v>45973.662907333768</v>
      </c>
      <c r="AD95" s="103">
        <f t="shared" si="205"/>
        <v>129559.25357641903</v>
      </c>
      <c r="AE95" s="103">
        <f>SUM(AE$85:AE$90)*7.65%-AE96</f>
        <v>83125.854040011909</v>
      </c>
      <c r="AF95" s="103">
        <f>SUM(AF$85:AF$90)*7.65%-AF96</f>
        <v>46433.399536407109</v>
      </c>
      <c r="AH95" s="103">
        <f t="shared" si="206"/>
        <v>139929.31524906267</v>
      </c>
      <c r="AI95" s="103">
        <f>SUM(AI$85:AI$90)*7.65%-AI96</f>
        <v>89650.817152624499</v>
      </c>
      <c r="AJ95" s="103">
        <f>SUM(AJ$85:AJ$90)*7.65%-AJ96</f>
        <v>50278.498096438183</v>
      </c>
      <c r="AL95" s="103">
        <f t="shared" si="207"/>
        <v>141328.6084015533</v>
      </c>
      <c r="AM95" s="103">
        <f>SUM(AM$85:AM$90)*7.65%-AM96</f>
        <v>90547.325324150748</v>
      </c>
      <c r="AN95" s="103">
        <f>SUM(AN$85:AN$90)*7.65%-AN96</f>
        <v>50781.283077402564</v>
      </c>
      <c r="AO95" s="165" t="s">
        <v>48</v>
      </c>
      <c r="AP95" s="221"/>
    </row>
    <row r="96" spans="1:42" x14ac:dyDescent="0.25">
      <c r="A96" s="131">
        <v>1</v>
      </c>
      <c r="B96" s="99">
        <v>432</v>
      </c>
      <c r="C96" s="63">
        <v>4000</v>
      </c>
      <c r="D96" s="63">
        <v>5100</v>
      </c>
      <c r="E96" s="63">
        <v>220</v>
      </c>
      <c r="F96" s="63" t="s">
        <v>47</v>
      </c>
      <c r="G96" s="103">
        <f>+H96+I96</f>
        <v>9421.280999999999</v>
      </c>
      <c r="H96" s="103">
        <f>(H86+H90)*7.65%</f>
        <v>8809.280999999999</v>
      </c>
      <c r="I96" s="103">
        <f>(I86+I90)*7.65%</f>
        <v>612</v>
      </c>
      <c r="J96" s="129" t="str">
        <f t="shared" si="156"/>
        <v>*</v>
      </c>
      <c r="L96" s="132">
        <f t="shared" si="194"/>
        <v>9421.280999999999</v>
      </c>
      <c r="M96" s="132">
        <f t="shared" si="157"/>
        <v>0</v>
      </c>
      <c r="N96" s="130"/>
      <c r="O96" s="136"/>
      <c r="P96" s="136">
        <f t="shared" si="158"/>
        <v>0</v>
      </c>
      <c r="Q96" s="136">
        <f t="shared" si="159"/>
        <v>0</v>
      </c>
      <c r="R96" s="136">
        <f t="shared" si="160"/>
        <v>8809.280999999999</v>
      </c>
      <c r="S96" s="136">
        <f t="shared" si="161"/>
        <v>612</v>
      </c>
      <c r="T96" s="136">
        <f t="shared" si="162"/>
        <v>0</v>
      </c>
      <c r="U96" s="136">
        <f t="shared" si="162"/>
        <v>0</v>
      </c>
      <c r="V96" s="136">
        <f t="shared" si="163"/>
        <v>0</v>
      </c>
      <c r="W96" s="136">
        <f t="shared" si="164"/>
        <v>0</v>
      </c>
      <c r="X96" s="130">
        <f t="shared" si="34"/>
        <v>0</v>
      </c>
      <c r="Z96" s="103">
        <f t="shared" si="204"/>
        <v>9515.4938099999999</v>
      </c>
      <c r="AA96" s="103">
        <f>+H96*Inf</f>
        <v>8897.3738099999991</v>
      </c>
      <c r="AB96" s="103">
        <f>+I96*Inf</f>
        <v>618.12</v>
      </c>
      <c r="AD96" s="103">
        <f t="shared" si="205"/>
        <v>9610.6487480999986</v>
      </c>
      <c r="AE96" s="103">
        <f>+AA96*Inf</f>
        <v>8986.3475480999987</v>
      </c>
      <c r="AF96" s="103">
        <f>+AB96*Inf</f>
        <v>624.30119999999999</v>
      </c>
      <c r="AH96" s="103">
        <f t="shared" si="206"/>
        <v>9706.7552355810003</v>
      </c>
      <c r="AI96" s="103">
        <f>+AE96*Inf</f>
        <v>9076.2110235809996</v>
      </c>
      <c r="AJ96" s="103">
        <f>+AF96*Inf</f>
        <v>630.54421200000002</v>
      </c>
      <c r="AL96" s="103">
        <f t="shared" si="207"/>
        <v>9803.8227879368096</v>
      </c>
      <c r="AM96" s="103">
        <f>+AI96*Inf</f>
        <v>9166.9731338168094</v>
      </c>
      <c r="AN96" s="103">
        <f>+AJ96*Inf</f>
        <v>636.84965411999997</v>
      </c>
      <c r="AO96" s="165" t="s">
        <v>35</v>
      </c>
      <c r="AP96" s="221"/>
    </row>
    <row r="97" spans="1:42" hidden="1" x14ac:dyDescent="0.25">
      <c r="A97" s="131">
        <v>1</v>
      </c>
      <c r="B97" s="99">
        <v>435</v>
      </c>
      <c r="C97" s="63">
        <v>4000</v>
      </c>
      <c r="D97" s="63">
        <v>5100</v>
      </c>
      <c r="E97" s="63">
        <v>220</v>
      </c>
      <c r="F97" s="63" t="s">
        <v>47</v>
      </c>
      <c r="G97" s="103">
        <f>+H97+I97</f>
        <v>0</v>
      </c>
      <c r="H97" s="103">
        <v>0</v>
      </c>
      <c r="I97" s="103">
        <v>0</v>
      </c>
      <c r="J97" s="129" t="str">
        <f t="shared" ref="J97" si="231">IF(G97&gt;0.49,"*","")</f>
        <v/>
      </c>
      <c r="L97" s="132">
        <f t="shared" ref="L97" si="232">IF(E97&lt;300,G97,0)</f>
        <v>0</v>
      </c>
      <c r="M97" s="132">
        <f t="shared" ref="M97" si="233">IF(E97&gt;299,G97,0)</f>
        <v>0</v>
      </c>
      <c r="N97" s="130"/>
      <c r="O97" s="136"/>
      <c r="P97" s="136">
        <f t="shared" ref="P97" si="234">IF(B97=490,G97,0)</f>
        <v>0</v>
      </c>
      <c r="Q97" s="136">
        <f t="shared" ref="Q97" si="235">IF(B97=410,H97,0)</f>
        <v>0</v>
      </c>
      <c r="R97" s="136">
        <f t="shared" ref="R97" si="236">IF(B97=432,H97,0)</f>
        <v>0</v>
      </c>
      <c r="S97" s="136">
        <f t="shared" ref="S97" si="237">IF(B97=432,I97,0)</f>
        <v>0</v>
      </c>
      <c r="T97" s="136">
        <f t="shared" si="162"/>
        <v>0</v>
      </c>
      <c r="U97" s="136">
        <f t="shared" si="162"/>
        <v>0</v>
      </c>
      <c r="V97" s="136">
        <f t="shared" ref="V97" si="238">IF(B97=360,I97,0)</f>
        <v>0</v>
      </c>
      <c r="W97" s="136">
        <f t="shared" ref="W97" si="239">IF(B97=410,I97,0)</f>
        <v>0</v>
      </c>
      <c r="X97" s="130">
        <f t="shared" ref="X97" si="240">+W97+Q97-O97</f>
        <v>0</v>
      </c>
      <c r="Z97" s="103">
        <f t="shared" ref="Z97" si="241">AA97+AB97</f>
        <v>0</v>
      </c>
      <c r="AA97" s="103">
        <f>+H97*Inf</f>
        <v>0</v>
      </c>
      <c r="AB97" s="103">
        <f>+I97*Inf</f>
        <v>0</v>
      </c>
      <c r="AD97" s="103">
        <f t="shared" ref="AD97" si="242">AE97+AF97</f>
        <v>0</v>
      </c>
      <c r="AE97" s="103">
        <f>+AA97*Inf</f>
        <v>0</v>
      </c>
      <c r="AF97" s="103">
        <f>+AB97*Inf</f>
        <v>0</v>
      </c>
      <c r="AH97" s="103">
        <f t="shared" ref="AH97" si="243">AI97+AJ97</f>
        <v>0</v>
      </c>
      <c r="AI97" s="103">
        <f>+AE97*Inf</f>
        <v>0</v>
      </c>
      <c r="AJ97" s="103">
        <f>+AF97*Inf</f>
        <v>0</v>
      </c>
      <c r="AL97" s="103">
        <f t="shared" ref="AL97" si="244">AM97+AN97</f>
        <v>0</v>
      </c>
      <c r="AM97" s="103">
        <f>+AI97*Inf</f>
        <v>0</v>
      </c>
      <c r="AN97" s="103">
        <f>+AJ97*Inf</f>
        <v>0</v>
      </c>
      <c r="AO97" s="165" t="s">
        <v>35</v>
      </c>
    </row>
    <row r="98" spans="1:42" x14ac:dyDescent="0.25">
      <c r="A98" s="131">
        <v>1</v>
      </c>
      <c r="B98" s="63">
        <v>100</v>
      </c>
      <c r="C98" s="63">
        <v>4000</v>
      </c>
      <c r="D98" s="63">
        <v>5100</v>
      </c>
      <c r="E98" s="63">
        <v>230</v>
      </c>
      <c r="F98" s="63" t="s">
        <v>49</v>
      </c>
      <c r="G98" s="103">
        <f>+'Payroll Input'!L48+'Payroll Input'!L60+'Payroll Input'!L74-G99-G100</f>
        <v>68856</v>
      </c>
      <c r="H98" s="103">
        <f>+(SUM('Payroll Input'!$L$14:$L$33,'Payroll Input'!$L$63:$L$69,'Payroll Input'!$L$52:$L$55))-H99-H100</f>
        <v>43488</v>
      </c>
      <c r="I98" s="103">
        <f>+SUM('Payroll Input'!$L$34:$L$47,'Payroll Input'!$L$71:$L$73,'Payroll Input'!$L$57:$L$59)-I99-I100</f>
        <v>25368</v>
      </c>
      <c r="J98" s="129" t="str">
        <f t="shared" ref="J98" si="245">IF(G98&gt;0.49,"*","")</f>
        <v>*</v>
      </c>
      <c r="L98" s="132">
        <f t="shared" ref="L98" si="246">IF(E98&lt;300,G98,0)</f>
        <v>68856</v>
      </c>
      <c r="M98" s="132">
        <f t="shared" ref="M98" si="247">IF(E98&gt;299,G98,0)</f>
        <v>0</v>
      </c>
      <c r="N98" s="130"/>
      <c r="O98" s="136"/>
      <c r="P98" s="136">
        <f t="shared" ref="P98" si="248">IF(B98=490,G98,0)</f>
        <v>0</v>
      </c>
      <c r="Q98" s="136">
        <f t="shared" ref="Q98" si="249">IF(B98=410,H98,0)</f>
        <v>0</v>
      </c>
      <c r="R98" s="136">
        <f t="shared" ref="R98" si="250">IF(B98=432,H98,0)</f>
        <v>0</v>
      </c>
      <c r="S98" s="136">
        <f t="shared" si="161"/>
        <v>0</v>
      </c>
      <c r="T98" s="136">
        <f t="shared" si="162"/>
        <v>0</v>
      </c>
      <c r="U98" s="136">
        <f t="shared" si="162"/>
        <v>0</v>
      </c>
      <c r="V98" s="136">
        <f t="shared" ref="V98" si="251">IF(B98=360,I98,0)</f>
        <v>0</v>
      </c>
      <c r="W98" s="136">
        <f t="shared" ref="W98" si="252">IF(B98=410,I98,0)</f>
        <v>0</v>
      </c>
      <c r="X98" s="130">
        <f t="shared" ref="X98" si="253">+W98+Q98-O98</f>
        <v>0</v>
      </c>
      <c r="Z98" s="103">
        <f t="shared" si="204"/>
        <v>84401.464788539044</v>
      </c>
      <c r="AA98" s="103">
        <f>(H98+H99)/SUM(H$85:H$90)*SUM(AA$85:AA$90)*Inf-AA99</f>
        <v>47531.693381701625</v>
      </c>
      <c r="AB98" s="103">
        <f>(I98+I99)/SUM(I$85:I$90)*SUM(AB$85:AB$90)*Inf-AB99</f>
        <v>36869.771406837426</v>
      </c>
      <c r="AD98" s="103">
        <f t="shared" si="205"/>
        <v>86171.871078788681</v>
      </c>
      <c r="AE98" s="103">
        <f>(AA98+AA99)/SUM(AA$85:AA$90)*SUM(AE$85:AE$90)*Inf-AE99</f>
        <v>48524.04884267383</v>
      </c>
      <c r="AF98" s="103">
        <f>(AB98+AB99)/SUM(AB$85:AB$90)*SUM(AF$85:AF$90)*Inf-AF99</f>
        <v>37647.822236114858</v>
      </c>
      <c r="AH98" s="103">
        <f t="shared" si="206"/>
        <v>94238.822091036054</v>
      </c>
      <c r="AI98" s="103">
        <f>(AE98+AE99)/SUM(AE$85:AE$90)*SUM(AI$85:AI$90)*Inf-AI99</f>
        <v>52796.914154188831</v>
      </c>
      <c r="AJ98" s="103">
        <f>(AF98+AF99)/SUM(AF$85:AF$90)*SUM(AJ$85:AJ$90)*Inf-AJ99</f>
        <v>41441.907936847223</v>
      </c>
      <c r="AL98" s="103">
        <f t="shared" si="207"/>
        <v>96208.445393710688</v>
      </c>
      <c r="AM98" s="103">
        <f>(AI98+AI99)/SUM(AI$85:AI$90)*SUM(AM$85:AM$90)*Inf-AM99</f>
        <v>53895.843618010425</v>
      </c>
      <c r="AN98" s="103">
        <f>(AJ98+AJ99)/SUM(AJ$85:AJ$90)*SUM(AN$85:AN$90)*Inf-AN99</f>
        <v>42312.601775700256</v>
      </c>
      <c r="AO98" s="165" t="s">
        <v>50</v>
      </c>
      <c r="AP98" s="221"/>
    </row>
    <row r="99" spans="1:42" x14ac:dyDescent="0.25">
      <c r="A99" s="131">
        <v>1</v>
      </c>
      <c r="B99" s="99">
        <v>432</v>
      </c>
      <c r="C99" s="63">
        <v>4000</v>
      </c>
      <c r="D99" s="63">
        <v>5100</v>
      </c>
      <c r="E99" s="63">
        <v>230</v>
      </c>
      <c r="F99" s="63" t="s">
        <v>49</v>
      </c>
      <c r="G99" s="103">
        <f>+H99+I99</f>
        <v>7248</v>
      </c>
      <c r="H99" s="103">
        <v>3624</v>
      </c>
      <c r="I99" s="103">
        <v>3624</v>
      </c>
      <c r="J99" s="129" t="str">
        <f t="shared" si="156"/>
        <v>*</v>
      </c>
      <c r="L99" s="132">
        <f t="shared" si="194"/>
        <v>7248</v>
      </c>
      <c r="M99" s="132">
        <f t="shared" si="157"/>
        <v>0</v>
      </c>
      <c r="N99" s="130"/>
      <c r="O99" s="136"/>
      <c r="P99" s="136">
        <f t="shared" si="158"/>
        <v>0</v>
      </c>
      <c r="Q99" s="136">
        <f t="shared" si="159"/>
        <v>0</v>
      </c>
      <c r="R99" s="136">
        <f t="shared" si="160"/>
        <v>3624</v>
      </c>
      <c r="S99" s="136">
        <f t="shared" si="161"/>
        <v>3624</v>
      </c>
      <c r="T99" s="136">
        <f t="shared" si="162"/>
        <v>0</v>
      </c>
      <c r="U99" s="136">
        <f t="shared" si="162"/>
        <v>0</v>
      </c>
      <c r="V99" s="136">
        <f t="shared" si="163"/>
        <v>0</v>
      </c>
      <c r="W99" s="136">
        <f t="shared" si="164"/>
        <v>0</v>
      </c>
      <c r="X99" s="130">
        <f t="shared" si="34"/>
        <v>0</v>
      </c>
      <c r="Z99" s="103">
        <f t="shared" si="204"/>
        <v>7320.4800000000005</v>
      </c>
      <c r="AA99" s="103">
        <f>+H99*Inf</f>
        <v>3660.2400000000002</v>
      </c>
      <c r="AB99" s="103">
        <f>+I99*Inf</f>
        <v>3660.2400000000002</v>
      </c>
      <c r="AD99" s="103">
        <f t="shared" si="205"/>
        <v>7393.6848000000009</v>
      </c>
      <c r="AE99" s="103">
        <f>+AA99*Inf</f>
        <v>3696.8424000000005</v>
      </c>
      <c r="AF99" s="103">
        <f>+AB99*Inf</f>
        <v>3696.8424000000005</v>
      </c>
      <c r="AH99" s="103">
        <f t="shared" si="206"/>
        <v>7467.6216480000012</v>
      </c>
      <c r="AI99" s="103">
        <f>+AE99*Inf</f>
        <v>3733.8108240000006</v>
      </c>
      <c r="AJ99" s="103">
        <f>+AF99*Inf</f>
        <v>3733.8108240000006</v>
      </c>
      <c r="AL99" s="103">
        <f t="shared" si="207"/>
        <v>7542.2978644800014</v>
      </c>
      <c r="AM99" s="103">
        <f>+AI99*Inf</f>
        <v>3771.1489322400007</v>
      </c>
      <c r="AN99" s="103">
        <f>+AJ99*Inf</f>
        <v>3771.1489322400007</v>
      </c>
      <c r="AO99" s="165" t="s">
        <v>35</v>
      </c>
      <c r="AP99" s="221"/>
    </row>
    <row r="100" spans="1:42" hidden="1" x14ac:dyDescent="0.25">
      <c r="A100" s="131">
        <v>1</v>
      </c>
      <c r="B100" s="99">
        <v>435</v>
      </c>
      <c r="C100" s="63">
        <v>4000</v>
      </c>
      <c r="D100" s="63">
        <v>5100</v>
      </c>
      <c r="E100" s="63">
        <v>230</v>
      </c>
      <c r="F100" s="63" t="s">
        <v>49</v>
      </c>
      <c r="G100" s="103">
        <f>+H100+I100</f>
        <v>0</v>
      </c>
      <c r="H100" s="103">
        <v>0</v>
      </c>
      <c r="I100" s="103">
        <v>0</v>
      </c>
      <c r="J100" s="129" t="str">
        <f t="shared" ref="J100" si="254">IF(G100&gt;0.49,"*","")</f>
        <v/>
      </c>
      <c r="L100" s="132">
        <f t="shared" ref="L100" si="255">IF(E100&lt;300,G100,0)</f>
        <v>0</v>
      </c>
      <c r="M100" s="132">
        <f t="shared" ref="M100" si="256">IF(E100&gt;299,G100,0)</f>
        <v>0</v>
      </c>
      <c r="N100" s="130"/>
      <c r="O100" s="136"/>
      <c r="P100" s="136">
        <f t="shared" ref="P100" si="257">IF(B100=490,G100,0)</f>
        <v>0</v>
      </c>
      <c r="Q100" s="136">
        <f t="shared" ref="Q100" si="258">IF(B100=410,H100,0)</f>
        <v>0</v>
      </c>
      <c r="R100" s="136">
        <f t="shared" ref="R100" si="259">IF(B100=432,H100,0)</f>
        <v>0</v>
      </c>
      <c r="S100" s="136">
        <f t="shared" ref="S100" si="260">IF(B100=432,I100,0)</f>
        <v>0</v>
      </c>
      <c r="T100" s="136">
        <f t="shared" si="162"/>
        <v>0</v>
      </c>
      <c r="U100" s="136">
        <f t="shared" si="162"/>
        <v>0</v>
      </c>
      <c r="V100" s="136">
        <f t="shared" ref="V100" si="261">IF(B100=360,I100,0)</f>
        <v>0</v>
      </c>
      <c r="W100" s="136">
        <f t="shared" ref="W100" si="262">IF(B100=410,I100,0)</f>
        <v>0</v>
      </c>
      <c r="X100" s="130">
        <f t="shared" ref="X100" si="263">+W100+Q100-O100</f>
        <v>0</v>
      </c>
      <c r="Z100" s="103">
        <f t="shared" ref="Z100" si="264">AA100+AB100</f>
        <v>0</v>
      </c>
      <c r="AA100" s="103">
        <f>+H100*Inf</f>
        <v>0</v>
      </c>
      <c r="AB100" s="103">
        <f>+I100*Inf</f>
        <v>0</v>
      </c>
      <c r="AD100" s="103">
        <f t="shared" ref="AD100" si="265">AE100+AF100</f>
        <v>0</v>
      </c>
      <c r="AE100" s="103">
        <f>+AA100*Inf</f>
        <v>0</v>
      </c>
      <c r="AF100" s="103">
        <f>+AB100*Inf</f>
        <v>0</v>
      </c>
      <c r="AH100" s="103">
        <f t="shared" ref="AH100" si="266">AI100+AJ100</f>
        <v>0</v>
      </c>
      <c r="AI100" s="103">
        <f>+AE100*Inf</f>
        <v>0</v>
      </c>
      <c r="AJ100" s="103">
        <f>+AF100*Inf</f>
        <v>0</v>
      </c>
      <c r="AL100" s="103">
        <f t="shared" ref="AL100" si="267">AM100+AN100</f>
        <v>0</v>
      </c>
      <c r="AM100" s="103">
        <f>+AI100*Inf</f>
        <v>0</v>
      </c>
      <c r="AN100" s="103">
        <f>+AJ100*Inf</f>
        <v>0</v>
      </c>
      <c r="AO100" s="165" t="s">
        <v>35</v>
      </c>
    </row>
    <row r="101" spans="1:42" x14ac:dyDescent="0.25">
      <c r="A101" s="131">
        <v>1</v>
      </c>
      <c r="B101" s="63">
        <v>100</v>
      </c>
      <c r="C101" s="63">
        <v>4000</v>
      </c>
      <c r="D101" s="63">
        <v>5100</v>
      </c>
      <c r="E101" s="63">
        <v>240</v>
      </c>
      <c r="F101" s="63" t="s">
        <v>51</v>
      </c>
      <c r="G101" s="103">
        <f>+'Payroll Input'!N48+'Payroll Input'!N60+'Payroll Input'!N74-G102-G103</f>
        <v>4809.6730081728001</v>
      </c>
      <c r="H101" s="103">
        <f>+(SUM('Payroll Input'!$N$14:$N$33,'Payroll Input'!$N$63:$N$69,'Payroll Input'!$N$52:$N$55))-H102-H103</f>
        <v>3037.5944071999998</v>
      </c>
      <c r="I101" s="103">
        <f>+SUM('Payroll Input'!$N$34:$N$47,'Payroll Input'!$N$71:$N$73,'Payroll Input'!$N$57:$N$59)-I102-I103</f>
        <v>1772.0786009727999</v>
      </c>
      <c r="J101" s="129" t="str">
        <f t="shared" si="156"/>
        <v>*</v>
      </c>
      <c r="L101" s="132">
        <f t="shared" si="194"/>
        <v>4809.6730081728001</v>
      </c>
      <c r="M101" s="132">
        <f t="shared" si="157"/>
        <v>0</v>
      </c>
      <c r="N101" s="130"/>
      <c r="O101" s="136"/>
      <c r="P101" s="136">
        <f t="shared" si="158"/>
        <v>0</v>
      </c>
      <c r="Q101" s="136">
        <f t="shared" si="159"/>
        <v>0</v>
      </c>
      <c r="R101" s="136">
        <f t="shared" si="160"/>
        <v>0</v>
      </c>
      <c r="S101" s="136">
        <f t="shared" si="161"/>
        <v>0</v>
      </c>
      <c r="T101" s="136">
        <f t="shared" si="162"/>
        <v>0</v>
      </c>
      <c r="U101" s="136">
        <f t="shared" si="162"/>
        <v>0</v>
      </c>
      <c r="V101" s="136">
        <f t="shared" si="163"/>
        <v>0</v>
      </c>
      <c r="W101" s="136">
        <f t="shared" si="164"/>
        <v>0</v>
      </c>
      <c r="X101" s="130">
        <f t="shared" si="34"/>
        <v>0</v>
      </c>
      <c r="Z101" s="103">
        <f t="shared" si="204"/>
        <v>5956.8388607245988</v>
      </c>
      <c r="AA101" s="103">
        <f>(H101+H102)/SUM(H$85:H$90)*SUM(AA$85:AA$90)*Inf-AA102</f>
        <v>3432.9654859984475</v>
      </c>
      <c r="AB101" s="103">
        <f>(I101+I102)/SUM(I$85:I$90)*SUM(AB$85:AB$90)*Inf-AB102</f>
        <v>2523.8733747261513</v>
      </c>
      <c r="AD101" s="103">
        <f t="shared" si="205"/>
        <v>6095.4157311351628</v>
      </c>
      <c r="AE101" s="103">
        <f>(AA101+AA102)/SUM(AA$85:AA$90)*SUM(AE$85:AE$90)*Inf-AE102</f>
        <v>3519.5883815770158</v>
      </c>
      <c r="AF101" s="103">
        <f>(AB101+AB102)/SUM(AB$85:AB$90)*SUM(AF$85:AF$90)*Inf-AF102</f>
        <v>2575.8273495581475</v>
      </c>
      <c r="AH101" s="103">
        <f t="shared" si="206"/>
        <v>6762.4902171084977</v>
      </c>
      <c r="AI101" s="103">
        <f>(AE101+AE102)/SUM(AE$85:AE$90)*SUM(AI$85:AI$90)*Inf-AI102</f>
        <v>3937.864376879314</v>
      </c>
      <c r="AJ101" s="103">
        <f>(AF101+AF102)/SUM(AF$85:AF$90)*SUM(AJ$85:AJ$90)*Inf-AJ102</f>
        <v>2824.6258402291833</v>
      </c>
      <c r="AL101" s="103">
        <f t="shared" si="207"/>
        <v>6917.6394524095085</v>
      </c>
      <c r="AM101" s="103">
        <f>(AI101+AI102)/SUM(AI$85:AI$90)*SUM(AM$85:AM$90)*Inf-AM102</f>
        <v>4034.9899079797187</v>
      </c>
      <c r="AN101" s="103">
        <f>(AJ101+AJ102)/SUM(AJ$85:AJ$90)*SUM(AN$85:AN$90)*Inf-AN102</f>
        <v>2882.6495444297898</v>
      </c>
      <c r="AO101" s="165" t="s">
        <v>50</v>
      </c>
      <c r="AP101" s="221"/>
    </row>
    <row r="102" spans="1:42" x14ac:dyDescent="0.25">
      <c r="A102" s="131">
        <v>1</v>
      </c>
      <c r="B102" s="99">
        <v>432</v>
      </c>
      <c r="C102" s="63">
        <v>4000</v>
      </c>
      <c r="D102" s="63">
        <v>5100</v>
      </c>
      <c r="E102" s="63">
        <v>240</v>
      </c>
      <c r="F102" s="63" t="s">
        <v>51</v>
      </c>
      <c r="G102" s="103">
        <f>+H102+I102</f>
        <v>1847.31</v>
      </c>
      <c r="H102" s="103">
        <f>(H86+H90)*1.5%</f>
        <v>1727.31</v>
      </c>
      <c r="I102" s="103">
        <f>(I86+I90)*1.5%</f>
        <v>120</v>
      </c>
      <c r="J102" s="129" t="str">
        <f t="shared" ref="J102" si="268">IF(G102&gt;0.49,"*","")</f>
        <v>*</v>
      </c>
      <c r="L102" s="132">
        <f t="shared" ref="L102" si="269">IF(E102&lt;300,G102,0)</f>
        <v>1847.31</v>
      </c>
      <c r="M102" s="132">
        <f t="shared" ref="M102" si="270">IF(E102&gt;299,G102,0)</f>
        <v>0</v>
      </c>
      <c r="N102" s="130"/>
      <c r="O102" s="136"/>
      <c r="P102" s="136">
        <f t="shared" ref="P102" si="271">IF(B102=490,G102,0)</f>
        <v>0</v>
      </c>
      <c r="Q102" s="136">
        <f t="shared" ref="Q102" si="272">IF(B102=410,H102,0)</f>
        <v>0</v>
      </c>
      <c r="R102" s="136">
        <f t="shared" ref="R102" si="273">IF(B102=432,H102,0)</f>
        <v>1727.31</v>
      </c>
      <c r="S102" s="136">
        <f t="shared" si="161"/>
        <v>120</v>
      </c>
      <c r="T102" s="136">
        <f t="shared" si="162"/>
        <v>0</v>
      </c>
      <c r="U102" s="136">
        <f t="shared" si="162"/>
        <v>0</v>
      </c>
      <c r="V102" s="136">
        <f t="shared" ref="V102" si="274">IF(B102=360,I102,0)</f>
        <v>0</v>
      </c>
      <c r="W102" s="136">
        <f t="shared" ref="W102" si="275">IF(B102=410,I102,0)</f>
        <v>0</v>
      </c>
      <c r="X102" s="130">
        <f t="shared" ref="X102" si="276">+W102+Q102-O102</f>
        <v>0</v>
      </c>
      <c r="Z102" s="103">
        <f t="shared" si="204"/>
        <v>1865.7831000000001</v>
      </c>
      <c r="AA102" s="103">
        <f>+H102*Inf</f>
        <v>1744.5831000000001</v>
      </c>
      <c r="AB102" s="103">
        <f>+I102*Inf</f>
        <v>121.2</v>
      </c>
      <c r="AD102" s="103">
        <f t="shared" si="205"/>
        <v>1884.4409310000001</v>
      </c>
      <c r="AE102" s="103">
        <f>+AA102*Inf</f>
        <v>1762.0289310000001</v>
      </c>
      <c r="AF102" s="103">
        <f>+AB102*Inf</f>
        <v>122.41200000000001</v>
      </c>
      <c r="AH102" s="103">
        <f t="shared" si="206"/>
        <v>1903.2853403100003</v>
      </c>
      <c r="AI102" s="103">
        <f>+AE102*Inf</f>
        <v>1779.6492203100001</v>
      </c>
      <c r="AJ102" s="103">
        <f>+AF102*Inf</f>
        <v>123.63612000000001</v>
      </c>
      <c r="AL102" s="103">
        <f t="shared" si="207"/>
        <v>1922.3181937131003</v>
      </c>
      <c r="AM102" s="103">
        <f>+AI102*Inf</f>
        <v>1797.4457125131003</v>
      </c>
      <c r="AN102" s="103">
        <f>+AJ102*Inf</f>
        <v>124.87248120000001</v>
      </c>
      <c r="AO102" s="165" t="s">
        <v>35</v>
      </c>
      <c r="AP102" s="221"/>
    </row>
    <row r="103" spans="1:42" hidden="1" x14ac:dyDescent="0.25">
      <c r="A103" s="131">
        <v>1</v>
      </c>
      <c r="B103" s="99">
        <v>435</v>
      </c>
      <c r="C103" s="63">
        <v>4000</v>
      </c>
      <c r="D103" s="63">
        <v>5100</v>
      </c>
      <c r="E103" s="63">
        <v>240</v>
      </c>
      <c r="F103" s="63" t="s">
        <v>51</v>
      </c>
      <c r="G103" s="103">
        <f>+H103+I103</f>
        <v>0</v>
      </c>
      <c r="H103" s="103">
        <v>0</v>
      </c>
      <c r="I103" s="103">
        <v>0</v>
      </c>
      <c r="J103" s="129" t="str">
        <f t="shared" ref="J103" si="277">IF(G103&gt;0.49,"*","")</f>
        <v/>
      </c>
      <c r="L103" s="132">
        <f t="shared" ref="L103" si="278">IF(E103&lt;300,G103,0)</f>
        <v>0</v>
      </c>
      <c r="M103" s="132">
        <f t="shared" ref="M103" si="279">IF(E103&gt;299,G103,0)</f>
        <v>0</v>
      </c>
      <c r="N103" s="130"/>
      <c r="O103" s="136"/>
      <c r="P103" s="136">
        <f t="shared" ref="P103" si="280">IF(B103=490,G103,0)</f>
        <v>0</v>
      </c>
      <c r="Q103" s="136">
        <f t="shared" ref="Q103" si="281">IF(B103=410,H103,0)</f>
        <v>0</v>
      </c>
      <c r="R103" s="136">
        <f t="shared" ref="R103" si="282">IF(B103=432,H103,0)</f>
        <v>0</v>
      </c>
      <c r="S103" s="136">
        <f t="shared" ref="S103" si="283">IF(B103=432,I103,0)</f>
        <v>0</v>
      </c>
      <c r="T103" s="136">
        <f t="shared" si="162"/>
        <v>0</v>
      </c>
      <c r="U103" s="136">
        <f t="shared" si="162"/>
        <v>0</v>
      </c>
      <c r="V103" s="136">
        <f t="shared" ref="V103" si="284">IF(B103=360,I103,0)</f>
        <v>0</v>
      </c>
      <c r="W103" s="136">
        <f t="shared" ref="W103" si="285">IF(B103=410,I103,0)</f>
        <v>0</v>
      </c>
      <c r="X103" s="130">
        <f t="shared" ref="X103" si="286">+W103+Q103-O103</f>
        <v>0</v>
      </c>
      <c r="Z103" s="103">
        <f t="shared" ref="Z103" si="287">AA103+AB103</f>
        <v>0</v>
      </c>
      <c r="AA103" s="103">
        <f>+H103*Inf</f>
        <v>0</v>
      </c>
      <c r="AB103" s="103">
        <f>+I103*Inf</f>
        <v>0</v>
      </c>
      <c r="AD103" s="103">
        <f t="shared" ref="AD103" si="288">AE103+AF103</f>
        <v>0</v>
      </c>
      <c r="AE103" s="103">
        <f>+AA103*Inf</f>
        <v>0</v>
      </c>
      <c r="AF103" s="103">
        <f>+AB103*Inf</f>
        <v>0</v>
      </c>
      <c r="AH103" s="103">
        <f t="shared" ref="AH103" si="289">AI103+AJ103</f>
        <v>0</v>
      </c>
      <c r="AI103" s="103">
        <f>+AE103*Inf</f>
        <v>0</v>
      </c>
      <c r="AJ103" s="103">
        <f>+AF103*Inf</f>
        <v>0</v>
      </c>
      <c r="AL103" s="103">
        <f t="shared" ref="AL103" si="290">AM103+AN103</f>
        <v>0</v>
      </c>
      <c r="AM103" s="103">
        <f>+AI103*Inf</f>
        <v>0</v>
      </c>
      <c r="AN103" s="103">
        <f>+AJ103*Inf</f>
        <v>0</v>
      </c>
      <c r="AO103" s="165" t="s">
        <v>35</v>
      </c>
    </row>
    <row r="104" spans="1:42" x14ac:dyDescent="0.25">
      <c r="A104" s="131">
        <v>1</v>
      </c>
      <c r="B104" s="63">
        <v>100</v>
      </c>
      <c r="C104" s="63">
        <v>4000</v>
      </c>
      <c r="D104" s="63">
        <v>5100</v>
      </c>
      <c r="E104" s="63">
        <v>250</v>
      </c>
      <c r="F104" s="63" t="s">
        <v>52</v>
      </c>
      <c r="G104" s="103">
        <f>+'Payroll Input'!O48+'Payroll Input'!O60+'Payroll Input'!O74-G105-G106</f>
        <v>816.17568000000006</v>
      </c>
      <c r="H104" s="103">
        <f>+(SUM('Payroll Input'!$O$14:$O$33,'Payroll Input'!$O$63:$O$69,'Payroll Input'!$O$52:$O$55))-H105-H106</f>
        <v>586.20000000000005</v>
      </c>
      <c r="I104" s="103">
        <f>+SUM('Payroll Input'!$O$34:$O$47,'Payroll Input'!$O$71:$O$73,'Payroll Input'!$O$57:$O$59)-I105-I106</f>
        <v>229.97568000000001</v>
      </c>
      <c r="J104" s="129" t="str">
        <f t="shared" ref="J104:J105" si="291">IF(G104&gt;0.49,"*","")</f>
        <v>*</v>
      </c>
      <c r="L104" s="132">
        <f t="shared" ref="L104:L105" si="292">IF(E104&lt;300,G104,0)</f>
        <v>816.17568000000006</v>
      </c>
      <c r="M104" s="132">
        <f t="shared" ref="M104:M105" si="293">IF(E104&gt;299,G104,0)</f>
        <v>0</v>
      </c>
      <c r="N104" s="130"/>
      <c r="O104" s="136"/>
      <c r="P104" s="136">
        <f t="shared" ref="P104:P105" si="294">IF(B104=490,G104,0)</f>
        <v>0</v>
      </c>
      <c r="Q104" s="136">
        <f t="shared" ref="Q104:Q105" si="295">IF(B104=410,H104,0)</f>
        <v>0</v>
      </c>
      <c r="R104" s="136">
        <f t="shared" ref="R104:R105" si="296">IF(B104=432,H104,0)</f>
        <v>0</v>
      </c>
      <c r="S104" s="136">
        <f t="shared" si="161"/>
        <v>0</v>
      </c>
      <c r="T104" s="136">
        <f t="shared" si="162"/>
        <v>0</v>
      </c>
      <c r="U104" s="136">
        <f t="shared" si="162"/>
        <v>0</v>
      </c>
      <c r="V104" s="136">
        <f t="shared" ref="V104:V105" si="297">IF(B104=360,I104,0)</f>
        <v>0</v>
      </c>
      <c r="W104" s="136">
        <f t="shared" ref="W104:W105" si="298">IF(B104=410,I104,0)</f>
        <v>0</v>
      </c>
      <c r="X104" s="130">
        <f t="shared" ref="X104:X105" si="299">+W104+Q104-O104</f>
        <v>0</v>
      </c>
      <c r="Z104" s="103">
        <f t="shared" si="204"/>
        <v>958.46496361029415</v>
      </c>
      <c r="AA104" s="103">
        <f>(H104+H106)/SUM(H$85:H$90)*SUM(AA$85:AA$90)*Inf-AA106</f>
        <v>636.96534531230873</v>
      </c>
      <c r="AB104" s="103">
        <f>(I104+I106)/SUM(I$85:I$90)*SUM(AB$85:AB$90)*Inf-AB106</f>
        <v>321.49961829798542</v>
      </c>
      <c r="AD104" s="103">
        <f t="shared" si="205"/>
        <v>977.73010937886113</v>
      </c>
      <c r="AE104" s="103">
        <f>(AA104+AA106)/SUM(AA$85:AA$90)*SUM(AE$85:AE$90)*Inf-AE106</f>
        <v>649.76834875308612</v>
      </c>
      <c r="AF104" s="103">
        <f>(AB104+AB106)/SUM(AB$85:AB$90)*SUM(AF$85:AF$90)*Inf-AF106</f>
        <v>327.96176062577501</v>
      </c>
      <c r="AH104" s="103">
        <f t="shared" si="206"/>
        <v>1061.7454263176155</v>
      </c>
      <c r="AI104" s="103">
        <f>(AE104+AE106)/SUM(AE$85:AE$90)*SUM(AI$85:AI$90)*Inf-AI106</f>
        <v>703.39427284374005</v>
      </c>
      <c r="AJ104" s="103">
        <f>(AF104+AF106)/SUM(AF$85:AF$90)*SUM(AJ$85:AJ$90)*Inf-AJ106</f>
        <v>358.35115347387551</v>
      </c>
      <c r="AL104" s="103">
        <f t="shared" si="207"/>
        <v>1083.0865093865996</v>
      </c>
      <c r="AM104" s="103">
        <f>(AI104+AI106)/SUM(AI$85:AI$90)*SUM(AM$85:AM$90)*Inf-AM106</f>
        <v>717.53249772789923</v>
      </c>
      <c r="AN104" s="103">
        <f>(AJ104+AJ106)/SUM(AJ$85:AJ$90)*SUM(AN$85:AN$90)*Inf-AN106</f>
        <v>365.5540116587004</v>
      </c>
      <c r="AO104" s="165" t="s">
        <v>50</v>
      </c>
      <c r="AP104" s="221"/>
    </row>
    <row r="105" spans="1:42" hidden="1" x14ac:dyDescent="0.25">
      <c r="A105" s="131">
        <v>1</v>
      </c>
      <c r="B105" s="99">
        <v>432</v>
      </c>
      <c r="C105" s="63">
        <v>4000</v>
      </c>
      <c r="D105" s="63">
        <v>5100</v>
      </c>
      <c r="E105" s="63">
        <v>250</v>
      </c>
      <c r="F105" s="63" t="s">
        <v>52</v>
      </c>
      <c r="G105" s="103">
        <f>+H105+I105</f>
        <v>0</v>
      </c>
      <c r="H105" s="103">
        <v>0</v>
      </c>
      <c r="I105" s="103">
        <v>0</v>
      </c>
      <c r="J105" s="129" t="str">
        <f t="shared" si="291"/>
        <v/>
      </c>
      <c r="L105" s="132">
        <f t="shared" si="292"/>
        <v>0</v>
      </c>
      <c r="M105" s="132">
        <f t="shared" si="293"/>
        <v>0</v>
      </c>
      <c r="N105" s="130"/>
      <c r="O105" s="136"/>
      <c r="P105" s="136">
        <f t="shared" si="294"/>
        <v>0</v>
      </c>
      <c r="Q105" s="136">
        <f t="shared" si="295"/>
        <v>0</v>
      </c>
      <c r="R105" s="136">
        <f t="shared" si="296"/>
        <v>0</v>
      </c>
      <c r="S105" s="136">
        <f t="shared" ref="S105" si="300">IF(B105=432,I105,0)</f>
        <v>0</v>
      </c>
      <c r="T105" s="136">
        <f t="shared" si="162"/>
        <v>0</v>
      </c>
      <c r="U105" s="136">
        <f t="shared" si="162"/>
        <v>0</v>
      </c>
      <c r="V105" s="136">
        <f t="shared" si="297"/>
        <v>0</v>
      </c>
      <c r="W105" s="136">
        <f t="shared" si="298"/>
        <v>0</v>
      </c>
      <c r="X105" s="130">
        <f t="shared" si="299"/>
        <v>0</v>
      </c>
      <c r="Z105" s="103">
        <f t="shared" ref="Z105" si="301">AA105+AB105</f>
        <v>0</v>
      </c>
      <c r="AA105" s="103">
        <f>+H105*Inf</f>
        <v>0</v>
      </c>
      <c r="AB105" s="103">
        <f>+I105*Inf</f>
        <v>0</v>
      </c>
      <c r="AD105" s="103">
        <f t="shared" ref="AD105" si="302">AE105+AF105</f>
        <v>0</v>
      </c>
      <c r="AE105" s="103">
        <f>+AA105*Inf</f>
        <v>0</v>
      </c>
      <c r="AF105" s="103">
        <f>+AB105*Inf</f>
        <v>0</v>
      </c>
      <c r="AH105" s="103">
        <f t="shared" ref="AH105" si="303">AI105+AJ105</f>
        <v>0</v>
      </c>
      <c r="AI105" s="103">
        <f>+AE105*Inf</f>
        <v>0</v>
      </c>
      <c r="AJ105" s="103">
        <f>+AF105*Inf</f>
        <v>0</v>
      </c>
      <c r="AL105" s="103">
        <f t="shared" ref="AL105" si="304">AM105+AN105</f>
        <v>0</v>
      </c>
      <c r="AM105" s="103">
        <f>+AI105*Inf</f>
        <v>0</v>
      </c>
      <c r="AN105" s="103">
        <f>+AJ105*Inf</f>
        <v>0</v>
      </c>
      <c r="AO105" s="165" t="s">
        <v>35</v>
      </c>
    </row>
    <row r="106" spans="1:42" hidden="1" x14ac:dyDescent="0.25">
      <c r="A106" s="131">
        <v>1</v>
      </c>
      <c r="B106" s="99">
        <v>435</v>
      </c>
      <c r="C106" s="63">
        <v>4000</v>
      </c>
      <c r="D106" s="63">
        <v>5100</v>
      </c>
      <c r="E106" s="63">
        <v>250</v>
      </c>
      <c r="F106" s="63" t="s">
        <v>52</v>
      </c>
      <c r="G106" s="103">
        <f>+H106+I106</f>
        <v>0</v>
      </c>
      <c r="H106" s="103">
        <v>0</v>
      </c>
      <c r="I106" s="103">
        <v>0</v>
      </c>
      <c r="J106" s="129" t="str">
        <f t="shared" si="156"/>
        <v/>
      </c>
      <c r="L106" s="132">
        <f t="shared" si="194"/>
        <v>0</v>
      </c>
      <c r="M106" s="132">
        <f t="shared" si="157"/>
        <v>0</v>
      </c>
      <c r="N106" s="130"/>
      <c r="O106" s="136"/>
      <c r="P106" s="136">
        <f t="shared" si="158"/>
        <v>0</v>
      </c>
      <c r="Q106" s="136">
        <f t="shared" si="159"/>
        <v>0</v>
      </c>
      <c r="R106" s="136">
        <f t="shared" si="160"/>
        <v>0</v>
      </c>
      <c r="S106" s="136">
        <f t="shared" si="161"/>
        <v>0</v>
      </c>
      <c r="T106" s="136">
        <f t="shared" si="162"/>
        <v>0</v>
      </c>
      <c r="U106" s="136">
        <f t="shared" si="162"/>
        <v>0</v>
      </c>
      <c r="V106" s="136">
        <f t="shared" si="163"/>
        <v>0</v>
      </c>
      <c r="W106" s="136">
        <f t="shared" si="164"/>
        <v>0</v>
      </c>
      <c r="X106" s="130">
        <f t="shared" si="34"/>
        <v>0</v>
      </c>
      <c r="Z106" s="103">
        <f t="shared" si="204"/>
        <v>0</v>
      </c>
      <c r="AA106" s="103">
        <f>+H106*Inf</f>
        <v>0</v>
      </c>
      <c r="AB106" s="103">
        <f>+I106*Inf</f>
        <v>0</v>
      </c>
      <c r="AD106" s="103">
        <f t="shared" si="205"/>
        <v>0</v>
      </c>
      <c r="AE106" s="103">
        <f>+AA106*Inf</f>
        <v>0</v>
      </c>
      <c r="AF106" s="103">
        <f>+AB106*Inf</f>
        <v>0</v>
      </c>
      <c r="AH106" s="103">
        <f t="shared" si="206"/>
        <v>0</v>
      </c>
      <c r="AI106" s="103">
        <f>+AE106*Inf</f>
        <v>0</v>
      </c>
      <c r="AJ106" s="103">
        <f>+AF106*Inf</f>
        <v>0</v>
      </c>
      <c r="AL106" s="103">
        <f t="shared" si="207"/>
        <v>0</v>
      </c>
      <c r="AM106" s="103">
        <f>+AI106*Inf</f>
        <v>0</v>
      </c>
      <c r="AN106" s="103">
        <f>+AJ106*Inf</f>
        <v>0</v>
      </c>
      <c r="AO106" s="165" t="s">
        <v>35</v>
      </c>
    </row>
    <row r="107" spans="1:42" s="1" customFormat="1" ht="13.2" hidden="1" customHeight="1" x14ac:dyDescent="0.25">
      <c r="A107" s="131"/>
      <c r="B107" s="134"/>
      <c r="C107" s="134"/>
      <c r="D107" s="134"/>
      <c r="E107" s="134"/>
      <c r="F107" s="134"/>
      <c r="G107" s="103"/>
      <c r="H107" s="103"/>
      <c r="I107" s="103"/>
      <c r="J107" s="129" t="str">
        <f t="shared" si="156"/>
        <v/>
      </c>
      <c r="K107" s="129"/>
      <c r="L107" s="132">
        <f t="shared" si="194"/>
        <v>0</v>
      </c>
      <c r="M107" s="132">
        <f t="shared" si="157"/>
        <v>0</v>
      </c>
      <c r="N107" s="130"/>
      <c r="O107" s="136"/>
      <c r="P107" s="136">
        <f t="shared" si="158"/>
        <v>0</v>
      </c>
      <c r="Q107" s="136">
        <f t="shared" si="159"/>
        <v>0</v>
      </c>
      <c r="R107" s="136">
        <f t="shared" si="160"/>
        <v>0</v>
      </c>
      <c r="S107" s="136">
        <f t="shared" si="161"/>
        <v>0</v>
      </c>
      <c r="T107" s="136">
        <f t="shared" si="162"/>
        <v>0</v>
      </c>
      <c r="U107" s="136">
        <f t="shared" si="162"/>
        <v>0</v>
      </c>
      <c r="V107" s="136">
        <f t="shared" si="163"/>
        <v>0</v>
      </c>
      <c r="W107" s="136">
        <f t="shared" si="164"/>
        <v>0</v>
      </c>
      <c r="X107" s="130">
        <f t="shared" si="34"/>
        <v>0</v>
      </c>
      <c r="Y107" s="129"/>
      <c r="Z107" s="103"/>
      <c r="AA107" s="103"/>
      <c r="AB107" s="103"/>
      <c r="AC107" s="129"/>
      <c r="AD107" s="103"/>
      <c r="AE107" s="103"/>
      <c r="AF107" s="103"/>
      <c r="AG107" s="129"/>
      <c r="AH107" s="103"/>
      <c r="AI107" s="103"/>
      <c r="AJ107" s="103"/>
      <c r="AK107" s="129"/>
      <c r="AL107" s="103"/>
      <c r="AM107" s="103"/>
      <c r="AN107" s="103"/>
      <c r="AO107" s="165"/>
    </row>
    <row r="108" spans="1:42" s="1" customFormat="1" ht="13.2" hidden="1" customHeight="1" x14ac:dyDescent="0.25">
      <c r="A108" s="131"/>
      <c r="B108" s="134"/>
      <c r="C108" s="134"/>
      <c r="D108" s="134"/>
      <c r="E108" s="134"/>
      <c r="F108" s="134"/>
      <c r="G108" s="103"/>
      <c r="H108" s="103"/>
      <c r="I108" s="103"/>
      <c r="J108" s="129" t="str">
        <f t="shared" si="156"/>
        <v/>
      </c>
      <c r="K108" s="129"/>
      <c r="L108" s="132">
        <f t="shared" si="194"/>
        <v>0</v>
      </c>
      <c r="M108" s="132">
        <f t="shared" si="157"/>
        <v>0</v>
      </c>
      <c r="N108" s="130"/>
      <c r="O108" s="136"/>
      <c r="P108" s="136">
        <f t="shared" si="158"/>
        <v>0</v>
      </c>
      <c r="Q108" s="136">
        <f t="shared" si="159"/>
        <v>0</v>
      </c>
      <c r="R108" s="136">
        <f t="shared" si="160"/>
        <v>0</v>
      </c>
      <c r="S108" s="136">
        <f t="shared" si="161"/>
        <v>0</v>
      </c>
      <c r="T108" s="136">
        <f t="shared" si="162"/>
        <v>0</v>
      </c>
      <c r="U108" s="136">
        <f t="shared" si="162"/>
        <v>0</v>
      </c>
      <c r="V108" s="136">
        <f t="shared" si="163"/>
        <v>0</v>
      </c>
      <c r="W108" s="136">
        <f t="shared" si="164"/>
        <v>0</v>
      </c>
      <c r="X108" s="130">
        <f t="shared" ref="X108:X223" si="305">+W108+Q108-O108</f>
        <v>0</v>
      </c>
      <c r="Y108" s="129"/>
      <c r="Z108" s="103"/>
      <c r="AA108" s="103"/>
      <c r="AB108" s="103"/>
      <c r="AC108" s="129"/>
      <c r="AD108" s="103"/>
      <c r="AE108" s="103"/>
      <c r="AF108" s="103"/>
      <c r="AG108" s="129"/>
      <c r="AH108" s="103"/>
      <c r="AI108" s="103"/>
      <c r="AJ108" s="103"/>
      <c r="AK108" s="129"/>
      <c r="AL108" s="103"/>
      <c r="AM108" s="103"/>
      <c r="AN108" s="103"/>
      <c r="AO108" s="165"/>
    </row>
    <row r="109" spans="1:42" hidden="1" x14ac:dyDescent="0.25">
      <c r="A109" s="131"/>
      <c r="B109" s="134">
        <f>+'Expense Input'!B12</f>
        <v>100</v>
      </c>
      <c r="C109" s="134">
        <f>+'Expense Input'!C12</f>
        <v>4000</v>
      </c>
      <c r="D109" s="134">
        <f>+'Expense Input'!D12</f>
        <v>5100</v>
      </c>
      <c r="E109" s="134">
        <f>+'Expense Input'!E12</f>
        <v>310</v>
      </c>
      <c r="F109" s="134" t="str">
        <f>+'Expense Input'!F12</f>
        <v>Contracted Services</v>
      </c>
      <c r="G109" s="103">
        <f>+'Expense Input'!Q12</f>
        <v>0</v>
      </c>
      <c r="H109" s="103">
        <f>+'Expense Input'!R12</f>
        <v>0</v>
      </c>
      <c r="I109" s="103">
        <f>+'Expense Input'!S12</f>
        <v>0</v>
      </c>
      <c r="J109" s="129" t="str">
        <f t="shared" ref="J109" si="306">IF(G109&gt;0.49,"*","")</f>
        <v/>
      </c>
      <c r="L109" s="132">
        <f t="shared" ref="L109" si="307">IF(E109&lt;300,G109,0)</f>
        <v>0</v>
      </c>
      <c r="M109" s="132">
        <f t="shared" ref="M109" si="308">IF(E109&gt;299,G109,0)</f>
        <v>0</v>
      </c>
      <c r="N109" s="130"/>
      <c r="O109" s="136"/>
      <c r="P109" s="136">
        <f t="shared" si="158"/>
        <v>0</v>
      </c>
      <c r="Q109" s="136">
        <f t="shared" si="159"/>
        <v>0</v>
      </c>
      <c r="R109" s="136">
        <f t="shared" si="160"/>
        <v>0</v>
      </c>
      <c r="S109" s="136">
        <f t="shared" si="161"/>
        <v>0</v>
      </c>
      <c r="T109" s="136">
        <f t="shared" si="162"/>
        <v>0</v>
      </c>
      <c r="U109" s="136">
        <f t="shared" si="162"/>
        <v>0</v>
      </c>
      <c r="V109" s="136">
        <f t="shared" si="163"/>
        <v>0</v>
      </c>
      <c r="W109" s="136">
        <f t="shared" si="164"/>
        <v>0</v>
      </c>
      <c r="X109" s="130">
        <f t="shared" ref="X109" si="309">+W109+Q109-O109</f>
        <v>0</v>
      </c>
      <c r="Z109" s="103">
        <f>AA109+AB109</f>
        <v>0</v>
      </c>
      <c r="AA109" s="103">
        <f>+H109/H$11*AA$11*Inf</f>
        <v>0</v>
      </c>
      <c r="AB109" s="103">
        <f>+I109/I$11*AB$11*Inf</f>
        <v>0</v>
      </c>
      <c r="AD109" s="103">
        <f>AE109+AF109</f>
        <v>0</v>
      </c>
      <c r="AE109" s="103">
        <f>+AA109/AA$11*AE$11*Inf</f>
        <v>0</v>
      </c>
      <c r="AF109" s="103">
        <f>+AB109/AB$11*AF$11*Inf</f>
        <v>0</v>
      </c>
      <c r="AH109" s="103">
        <f>AI109+AJ109</f>
        <v>0</v>
      </c>
      <c r="AI109" s="103">
        <f>+AE109/AE$11*AI$11*Inf</f>
        <v>0</v>
      </c>
      <c r="AJ109" s="103">
        <f>+AF109/AF$11*AJ$11*Inf</f>
        <v>0</v>
      </c>
      <c r="AL109" s="103">
        <f>AM109+AN109</f>
        <v>0</v>
      </c>
      <c r="AM109" s="103">
        <f>+AI109/AI$11*AM$11*Inf</f>
        <v>0</v>
      </c>
      <c r="AN109" s="103">
        <f>+AJ109/AJ$11*AN$11*Inf</f>
        <v>0</v>
      </c>
      <c r="AO109" s="165" t="s">
        <v>42</v>
      </c>
    </row>
    <row r="110" spans="1:42" hidden="1" x14ac:dyDescent="0.25">
      <c r="A110" s="131"/>
      <c r="B110" s="134">
        <f>+'Expense Input'!B13</f>
        <v>432</v>
      </c>
      <c r="C110" s="134">
        <f>+'Expense Input'!C13</f>
        <v>4000</v>
      </c>
      <c r="D110" s="134">
        <f>+'Expense Input'!D13</f>
        <v>5100</v>
      </c>
      <c r="E110" s="134">
        <f>+'Expense Input'!E13</f>
        <v>310</v>
      </c>
      <c r="F110" s="134" t="str">
        <f>+'Expense Input'!F13</f>
        <v>Contracted Services</v>
      </c>
      <c r="G110" s="103">
        <f>+'Expense Input'!Q13</f>
        <v>0</v>
      </c>
      <c r="H110" s="103">
        <f>+'Expense Input'!R13</f>
        <v>0</v>
      </c>
      <c r="I110" s="103">
        <f>+'Expense Input'!S13</f>
        <v>0</v>
      </c>
      <c r="J110" s="129" t="str">
        <f t="shared" si="156"/>
        <v/>
      </c>
      <c r="L110" s="132">
        <f t="shared" si="194"/>
        <v>0</v>
      </c>
      <c r="M110" s="132">
        <f t="shared" si="157"/>
        <v>0</v>
      </c>
      <c r="N110" s="130"/>
      <c r="O110" s="136"/>
      <c r="P110" s="136">
        <f t="shared" si="158"/>
        <v>0</v>
      </c>
      <c r="Q110" s="136">
        <f t="shared" si="159"/>
        <v>0</v>
      </c>
      <c r="R110" s="136">
        <f t="shared" si="160"/>
        <v>0</v>
      </c>
      <c r="S110" s="136">
        <f t="shared" si="161"/>
        <v>0</v>
      </c>
      <c r="T110" s="136">
        <f t="shared" si="162"/>
        <v>0</v>
      </c>
      <c r="U110" s="136">
        <f t="shared" si="162"/>
        <v>0</v>
      </c>
      <c r="V110" s="136">
        <f t="shared" si="163"/>
        <v>0</v>
      </c>
      <c r="W110" s="136">
        <f t="shared" si="164"/>
        <v>0</v>
      </c>
      <c r="X110" s="130">
        <f t="shared" si="305"/>
        <v>0</v>
      </c>
      <c r="Z110" s="103">
        <f t="shared" ref="Z110" si="310">AA110+AB110</f>
        <v>0</v>
      </c>
      <c r="AA110" s="103">
        <f>+H110*Inf</f>
        <v>0</v>
      </c>
      <c r="AB110" s="103">
        <f>+I110*Inf</f>
        <v>0</v>
      </c>
      <c r="AD110" s="103">
        <f t="shared" ref="AD110" si="311">AE110+AF110</f>
        <v>0</v>
      </c>
      <c r="AE110" s="103">
        <f>+AA110*Inf</f>
        <v>0</v>
      </c>
      <c r="AF110" s="103">
        <f>+AB110*Inf</f>
        <v>0</v>
      </c>
      <c r="AH110" s="103">
        <f t="shared" ref="AH110" si="312">AI110+AJ110</f>
        <v>0</v>
      </c>
      <c r="AI110" s="103">
        <f>+AE110*Inf</f>
        <v>0</v>
      </c>
      <c r="AJ110" s="103">
        <f>+AF110*Inf</f>
        <v>0</v>
      </c>
      <c r="AL110" s="103">
        <f t="shared" ref="AL110" si="313">AM110+AN110</f>
        <v>0</v>
      </c>
      <c r="AM110" s="103">
        <f>+AI110*Inf</f>
        <v>0</v>
      </c>
      <c r="AN110" s="103">
        <f>+AJ110*Inf</f>
        <v>0</v>
      </c>
      <c r="AO110" s="165" t="s">
        <v>35</v>
      </c>
    </row>
    <row r="111" spans="1:42" x14ac:dyDescent="0.25">
      <c r="A111" s="131"/>
      <c r="B111" s="134">
        <f>+'Expense Input'!B14</f>
        <v>100</v>
      </c>
      <c r="C111" s="134">
        <f>+'Expense Input'!C14</f>
        <v>4000</v>
      </c>
      <c r="D111" s="134">
        <f>+'Expense Input'!D14</f>
        <v>5100</v>
      </c>
      <c r="E111" s="134">
        <f>+'Expense Input'!E14</f>
        <v>315</v>
      </c>
      <c r="F111" s="134" t="str">
        <f>+'Expense Input'!F14</f>
        <v>Field Trips</v>
      </c>
      <c r="G111" s="103">
        <f>+'Expense Input'!Q14</f>
        <v>6367.3822962260138</v>
      </c>
      <c r="H111" s="103">
        <f>+'Expense Input'!R14</f>
        <v>5573.9692686583139</v>
      </c>
      <c r="I111" s="103">
        <f>+'Expense Input'!S14</f>
        <v>793.41302756769949</v>
      </c>
      <c r="J111" s="129" t="str">
        <f t="shared" si="156"/>
        <v>*</v>
      </c>
      <c r="L111" s="132">
        <f t="shared" ref="L111:L126" si="314">IF(E111&lt;300,G111,0)</f>
        <v>0</v>
      </c>
      <c r="M111" s="132">
        <f t="shared" ref="M111:M126" si="315">IF(E111&gt;299,G111,0)</f>
        <v>6367.3822962260138</v>
      </c>
      <c r="N111" s="130"/>
      <c r="O111" s="136"/>
      <c r="P111" s="136">
        <f t="shared" si="158"/>
        <v>0</v>
      </c>
      <c r="Q111" s="136">
        <f t="shared" si="159"/>
        <v>0</v>
      </c>
      <c r="R111" s="136">
        <f t="shared" si="160"/>
        <v>0</v>
      </c>
      <c r="S111" s="136">
        <f t="shared" si="161"/>
        <v>0</v>
      </c>
      <c r="T111" s="136">
        <f t="shared" si="162"/>
        <v>0</v>
      </c>
      <c r="U111" s="136">
        <f t="shared" si="162"/>
        <v>0</v>
      </c>
      <c r="V111" s="136">
        <f t="shared" si="163"/>
        <v>0</v>
      </c>
      <c r="W111" s="136">
        <f t="shared" si="164"/>
        <v>0</v>
      </c>
      <c r="X111" s="130">
        <f t="shared" si="305"/>
        <v>0</v>
      </c>
      <c r="Z111" s="103">
        <f t="shared" ref="Z111:Z123" si="316">AA111+AB111</f>
        <v>7231.1897500037721</v>
      </c>
      <c r="AA111" s="103">
        <f t="shared" ref="AA111:AB113" si="317">+H111/H$11*AA$11*Inf</f>
        <v>6098.8513747903053</v>
      </c>
      <c r="AB111" s="103">
        <f t="shared" si="317"/>
        <v>1132.3383752134669</v>
      </c>
      <c r="AD111" s="103">
        <f t="shared" ref="AD111:AD123" si="318">AE111+AF111</f>
        <v>7303.5016475038101</v>
      </c>
      <c r="AE111" s="103">
        <f t="shared" ref="AE111:AF113" si="319">+AA111/AA$11*AE$11*Inf</f>
        <v>6159.8398885382085</v>
      </c>
      <c r="AF111" s="103">
        <f t="shared" si="319"/>
        <v>1143.6617589656016</v>
      </c>
      <c r="AH111" s="103">
        <f t="shared" ref="AH111:AH123" si="320">AI111+AJ111</f>
        <v>7943.9625612079908</v>
      </c>
      <c r="AI111" s="103">
        <f t="shared" ref="AI111:AJ113" si="321">+AE111/AE$11*AI$11*Inf</f>
        <v>6700.0104633792516</v>
      </c>
      <c r="AJ111" s="103">
        <f t="shared" si="321"/>
        <v>1243.9520978287389</v>
      </c>
      <c r="AL111" s="103">
        <f t="shared" ref="AL111:AL123" si="322">AM111+AN111</f>
        <v>8023.4021868200707</v>
      </c>
      <c r="AM111" s="103">
        <f t="shared" ref="AM111:AN113" si="323">+AI111/AI$11*AM$11*Inf</f>
        <v>6767.0105680130446</v>
      </c>
      <c r="AN111" s="103">
        <f t="shared" si="323"/>
        <v>1256.3916188070264</v>
      </c>
      <c r="AO111" s="165" t="s">
        <v>42</v>
      </c>
      <c r="AP111" s="221"/>
    </row>
    <row r="112" spans="1:42" x14ac:dyDescent="0.25">
      <c r="A112" s="131"/>
      <c r="B112" s="134">
        <f>+'Expense Input'!B15</f>
        <v>100</v>
      </c>
      <c r="C112" s="134">
        <f>+'Expense Input'!C15</f>
        <v>4000</v>
      </c>
      <c r="D112" s="134">
        <f>+'Expense Input'!D15</f>
        <v>5100</v>
      </c>
      <c r="E112" s="134">
        <f>+'Expense Input'!E15</f>
        <v>320</v>
      </c>
      <c r="F112" s="134" t="str">
        <f>+'Expense Input'!F15</f>
        <v>Student Accident Insurance</v>
      </c>
      <c r="G112" s="103">
        <f>+'Expense Input'!Q15</f>
        <v>2510.2616052465896</v>
      </c>
      <c r="H112" s="103">
        <f>+'Expense Input'!R15</f>
        <v>1351.4252061248526</v>
      </c>
      <c r="I112" s="103">
        <f>+'Expense Input'!S15</f>
        <v>1158.836399121737</v>
      </c>
      <c r="J112" s="129" t="str">
        <f t="shared" si="156"/>
        <v>*</v>
      </c>
      <c r="L112" s="132">
        <f t="shared" si="314"/>
        <v>0</v>
      </c>
      <c r="M112" s="132">
        <f t="shared" si="315"/>
        <v>2510.2616052465896</v>
      </c>
      <c r="N112" s="130"/>
      <c r="O112" s="136"/>
      <c r="P112" s="136">
        <f t="shared" si="158"/>
        <v>0</v>
      </c>
      <c r="Q112" s="136">
        <f t="shared" si="159"/>
        <v>0</v>
      </c>
      <c r="R112" s="136">
        <f t="shared" si="160"/>
        <v>0</v>
      </c>
      <c r="S112" s="136">
        <f t="shared" si="161"/>
        <v>0</v>
      </c>
      <c r="T112" s="136">
        <f t="shared" si="162"/>
        <v>0</v>
      </c>
      <c r="U112" s="136">
        <f t="shared" si="162"/>
        <v>0</v>
      </c>
      <c r="V112" s="136">
        <f t="shared" si="163"/>
        <v>0</v>
      </c>
      <c r="W112" s="136">
        <f t="shared" si="164"/>
        <v>0</v>
      </c>
      <c r="X112" s="130">
        <f t="shared" si="305"/>
        <v>0</v>
      </c>
      <c r="Z112" s="103">
        <f t="shared" si="316"/>
        <v>3132.5454913467265</v>
      </c>
      <c r="AA112" s="103">
        <f t="shared" si="317"/>
        <v>1478.684413034943</v>
      </c>
      <c r="AB112" s="103">
        <f t="shared" si="317"/>
        <v>1653.8610783117836</v>
      </c>
      <c r="AD112" s="103">
        <f t="shared" si="318"/>
        <v>3163.8709462601937</v>
      </c>
      <c r="AE112" s="103">
        <f t="shared" si="319"/>
        <v>1493.4712571652924</v>
      </c>
      <c r="AF112" s="103">
        <f t="shared" si="319"/>
        <v>1670.3996890949011</v>
      </c>
      <c r="AH112" s="103">
        <f t="shared" si="320"/>
        <v>3441.3180907783953</v>
      </c>
      <c r="AI112" s="103">
        <f t="shared" si="321"/>
        <v>1624.437198178249</v>
      </c>
      <c r="AJ112" s="103">
        <f t="shared" si="321"/>
        <v>1816.8808926001464</v>
      </c>
      <c r="AL112" s="103">
        <f t="shared" si="322"/>
        <v>3475.7312716861788</v>
      </c>
      <c r="AM112" s="103">
        <f t="shared" si="323"/>
        <v>1640.6815701600312</v>
      </c>
      <c r="AN112" s="103">
        <f t="shared" si="323"/>
        <v>1835.0497015261478</v>
      </c>
      <c r="AO112" s="165" t="s">
        <v>42</v>
      </c>
    </row>
    <row r="113" spans="1:41" x14ac:dyDescent="0.25">
      <c r="A113" s="131"/>
      <c r="B113" s="134">
        <f>+'Expense Input'!B16</f>
        <v>100</v>
      </c>
      <c r="C113" s="134">
        <f>+'Expense Input'!C16</f>
        <v>4000</v>
      </c>
      <c r="D113" s="134">
        <f>+'Expense Input'!D16</f>
        <v>5100</v>
      </c>
      <c r="E113" s="134">
        <f>+'Expense Input'!E16</f>
        <v>330</v>
      </c>
      <c r="F113" s="134" t="str">
        <f>+'Expense Input'!F16</f>
        <v>Travel/Workshop/Conference</v>
      </c>
      <c r="G113" s="103">
        <f>+'Expense Input'!Q16</f>
        <v>3364.1581897527576</v>
      </c>
      <c r="H113" s="103">
        <f>+'Expense Input'!R16</f>
        <v>1081.486240496841</v>
      </c>
      <c r="I113" s="103">
        <f>+'Expense Input'!S16</f>
        <v>2282.6719492559164</v>
      </c>
      <c r="J113" s="129" t="str">
        <f t="shared" si="156"/>
        <v>*</v>
      </c>
      <c r="L113" s="132">
        <f t="shared" si="314"/>
        <v>0</v>
      </c>
      <c r="M113" s="132">
        <f t="shared" si="315"/>
        <v>3364.1581897527576</v>
      </c>
      <c r="N113" s="130"/>
      <c r="O113" s="136"/>
      <c r="P113" s="136">
        <f t="shared" si="158"/>
        <v>0</v>
      </c>
      <c r="Q113" s="136">
        <f t="shared" si="159"/>
        <v>0</v>
      </c>
      <c r="R113" s="136">
        <f t="shared" si="160"/>
        <v>0</v>
      </c>
      <c r="S113" s="136">
        <f t="shared" si="161"/>
        <v>0</v>
      </c>
      <c r="T113" s="136">
        <f t="shared" si="162"/>
        <v>0</v>
      </c>
      <c r="U113" s="136">
        <f t="shared" si="162"/>
        <v>0</v>
      </c>
      <c r="V113" s="136">
        <f t="shared" si="163"/>
        <v>0</v>
      </c>
      <c r="W113" s="136">
        <f t="shared" si="164"/>
        <v>0</v>
      </c>
      <c r="X113" s="130">
        <f t="shared" si="305"/>
        <v>0</v>
      </c>
      <c r="Z113" s="103">
        <f t="shared" si="316"/>
        <v>4441.0960528244441</v>
      </c>
      <c r="AA113" s="103">
        <f t="shared" si="317"/>
        <v>1183.3261948102936</v>
      </c>
      <c r="AB113" s="103">
        <f t="shared" si="317"/>
        <v>3257.7698580141505</v>
      </c>
      <c r="AD113" s="103">
        <f t="shared" si="318"/>
        <v>4485.5070133526879</v>
      </c>
      <c r="AE113" s="103">
        <f t="shared" si="319"/>
        <v>1195.1594567583966</v>
      </c>
      <c r="AF113" s="103">
        <f t="shared" si="319"/>
        <v>3290.3475565942917</v>
      </c>
      <c r="AH113" s="103">
        <f t="shared" si="320"/>
        <v>4878.8514745236171</v>
      </c>
      <c r="AI113" s="103">
        <f t="shared" si="321"/>
        <v>1299.9657475818253</v>
      </c>
      <c r="AJ113" s="103">
        <f t="shared" si="321"/>
        <v>3578.8857269417913</v>
      </c>
      <c r="AL113" s="103">
        <f t="shared" si="322"/>
        <v>4927.6399892688532</v>
      </c>
      <c r="AM113" s="103">
        <f t="shared" si="323"/>
        <v>1312.9654050576437</v>
      </c>
      <c r="AN113" s="103">
        <f t="shared" si="323"/>
        <v>3614.6745842112091</v>
      </c>
      <c r="AO113" s="165" t="s">
        <v>42</v>
      </c>
    </row>
    <row r="114" spans="1:41" hidden="1" x14ac:dyDescent="0.25">
      <c r="A114" s="131"/>
      <c r="B114" s="134">
        <f>+'Expense Input'!B17</f>
        <v>432</v>
      </c>
      <c r="C114" s="134">
        <f>+'Expense Input'!C17</f>
        <v>4000</v>
      </c>
      <c r="D114" s="134">
        <f>+'Expense Input'!D17</f>
        <v>5100</v>
      </c>
      <c r="E114" s="134">
        <f>+'Expense Input'!E17</f>
        <v>330</v>
      </c>
      <c r="F114" s="134" t="str">
        <f>+'Expense Input'!F17</f>
        <v>Travel/Workshop/Conference</v>
      </c>
      <c r="G114" s="103">
        <f>+'Expense Input'!Q17</f>
        <v>0</v>
      </c>
      <c r="H114" s="103">
        <f>+'Expense Input'!R17</f>
        <v>0</v>
      </c>
      <c r="I114" s="103">
        <f>+'Expense Input'!S17</f>
        <v>0</v>
      </c>
      <c r="J114" s="129" t="str">
        <f t="shared" si="156"/>
        <v/>
      </c>
      <c r="L114" s="132">
        <f t="shared" si="314"/>
        <v>0</v>
      </c>
      <c r="M114" s="132">
        <f t="shared" si="315"/>
        <v>0</v>
      </c>
      <c r="N114" s="130"/>
      <c r="O114" s="136"/>
      <c r="P114" s="136">
        <f t="shared" si="158"/>
        <v>0</v>
      </c>
      <c r="Q114" s="136">
        <f t="shared" si="159"/>
        <v>0</v>
      </c>
      <c r="R114" s="136">
        <f t="shared" si="160"/>
        <v>0</v>
      </c>
      <c r="S114" s="136">
        <f t="shared" si="161"/>
        <v>0</v>
      </c>
      <c r="T114" s="136">
        <f t="shared" si="162"/>
        <v>0</v>
      </c>
      <c r="U114" s="136">
        <f t="shared" si="162"/>
        <v>0</v>
      </c>
      <c r="V114" s="136">
        <f t="shared" si="163"/>
        <v>0</v>
      </c>
      <c r="W114" s="136">
        <f t="shared" si="164"/>
        <v>0</v>
      </c>
      <c r="X114" s="130">
        <f t="shared" si="305"/>
        <v>0</v>
      </c>
      <c r="Z114" s="103">
        <f t="shared" si="316"/>
        <v>0</v>
      </c>
      <c r="AA114" s="103">
        <f>+H114*Inf</f>
        <v>0</v>
      </c>
      <c r="AB114" s="103">
        <f>+I114*Inf</f>
        <v>0</v>
      </c>
      <c r="AD114" s="103">
        <f t="shared" si="318"/>
        <v>0</v>
      </c>
      <c r="AE114" s="103">
        <f>+AA114*Inf</f>
        <v>0</v>
      </c>
      <c r="AF114" s="103">
        <f>+AB114*Inf</f>
        <v>0</v>
      </c>
      <c r="AH114" s="103">
        <f t="shared" si="320"/>
        <v>0</v>
      </c>
      <c r="AI114" s="103">
        <f>+AE114*Inf</f>
        <v>0</v>
      </c>
      <c r="AJ114" s="103">
        <f>+AF114*Inf</f>
        <v>0</v>
      </c>
      <c r="AL114" s="103">
        <f t="shared" si="322"/>
        <v>0</v>
      </c>
      <c r="AM114" s="103">
        <f>+AI114*Inf</f>
        <v>0</v>
      </c>
      <c r="AN114" s="103">
        <f>+AJ114*Inf</f>
        <v>0</v>
      </c>
      <c r="AO114" s="165" t="s">
        <v>35</v>
      </c>
    </row>
    <row r="115" spans="1:41" hidden="1" x14ac:dyDescent="0.25">
      <c r="A115" s="131"/>
      <c r="B115" s="134">
        <f>+'Expense Input'!B18</f>
        <v>100</v>
      </c>
      <c r="C115" s="134">
        <f>+'Expense Input'!C18</f>
        <v>4000</v>
      </c>
      <c r="D115" s="134">
        <f>+'Expense Input'!D18</f>
        <v>5100</v>
      </c>
      <c r="E115" s="134">
        <f>+'Expense Input'!E18</f>
        <v>350</v>
      </c>
      <c r="F115" s="134" t="str">
        <f>+'Expense Input'!F18</f>
        <v>Computer Repair</v>
      </c>
      <c r="G115" s="103">
        <f>+'Expense Input'!Q18</f>
        <v>0</v>
      </c>
      <c r="H115" s="103">
        <f>+'Expense Input'!R18</f>
        <v>0</v>
      </c>
      <c r="I115" s="103">
        <f>+'Expense Input'!S18</f>
        <v>0</v>
      </c>
      <c r="J115" s="129" t="str">
        <f t="shared" si="156"/>
        <v/>
      </c>
      <c r="L115" s="132">
        <f t="shared" si="314"/>
        <v>0</v>
      </c>
      <c r="M115" s="132">
        <f t="shared" si="315"/>
        <v>0</v>
      </c>
      <c r="N115" s="130"/>
      <c r="O115" s="136"/>
      <c r="P115" s="136">
        <f t="shared" si="158"/>
        <v>0</v>
      </c>
      <c r="Q115" s="136">
        <f t="shared" si="159"/>
        <v>0</v>
      </c>
      <c r="R115" s="136">
        <f t="shared" si="160"/>
        <v>0</v>
      </c>
      <c r="S115" s="136">
        <f t="shared" si="161"/>
        <v>0</v>
      </c>
      <c r="T115" s="136">
        <f t="shared" si="162"/>
        <v>0</v>
      </c>
      <c r="U115" s="136">
        <f t="shared" si="162"/>
        <v>0</v>
      </c>
      <c r="V115" s="136">
        <f t="shared" si="163"/>
        <v>0</v>
      </c>
      <c r="W115" s="136">
        <f t="shared" si="164"/>
        <v>0</v>
      </c>
      <c r="X115" s="130">
        <f t="shared" si="305"/>
        <v>0</v>
      </c>
      <c r="Z115" s="103">
        <f t="shared" si="316"/>
        <v>0</v>
      </c>
      <c r="AA115" s="103">
        <f>+H115/H$11*AA$11*Inf</f>
        <v>0</v>
      </c>
      <c r="AB115" s="103">
        <f>+I115/I$11*AB$11*Inf</f>
        <v>0</v>
      </c>
      <c r="AD115" s="103">
        <f t="shared" si="318"/>
        <v>0</v>
      </c>
      <c r="AE115" s="103">
        <f>+AA115/AA$11*AE$11*Inf</f>
        <v>0</v>
      </c>
      <c r="AF115" s="103">
        <f>+AB115/AB$11*AF$11*Inf</f>
        <v>0</v>
      </c>
      <c r="AH115" s="103">
        <f t="shared" si="320"/>
        <v>0</v>
      </c>
      <c r="AI115" s="103">
        <f>+AE115/AE$11*AI$11*Inf</f>
        <v>0</v>
      </c>
      <c r="AJ115" s="103">
        <f>+AF115/AF$11*AJ$11*Inf</f>
        <v>0</v>
      </c>
      <c r="AL115" s="103">
        <f t="shared" si="322"/>
        <v>0</v>
      </c>
      <c r="AM115" s="103">
        <f>+AI115/AI$11*AM$11*Inf</f>
        <v>0</v>
      </c>
      <c r="AN115" s="103">
        <f>+AJ115/AJ$11*AN$11*Inf</f>
        <v>0</v>
      </c>
      <c r="AO115" s="165" t="s">
        <v>42</v>
      </c>
    </row>
    <row r="116" spans="1:41" ht="13.2" customHeight="1" x14ac:dyDescent="0.25">
      <c r="A116" s="131"/>
      <c r="B116" s="134">
        <f>+'Expense Input'!B19</f>
        <v>100</v>
      </c>
      <c r="C116" s="134">
        <f>+'Expense Input'!C19</f>
        <v>4000</v>
      </c>
      <c r="D116" s="134">
        <f>+'Expense Input'!D19</f>
        <v>5100</v>
      </c>
      <c r="E116" s="134">
        <f>+'Expense Input'!E19</f>
        <v>365</v>
      </c>
      <c r="F116" s="134" t="str">
        <f>+'Expense Input'!F19</f>
        <v>Software, License, Support &amp; Maintenance</v>
      </c>
      <c r="G116" s="103">
        <f>+'Expense Input'!Q19</f>
        <v>5004.1693095877044</v>
      </c>
      <c r="H116" s="103">
        <f>+'Expense Input'!R19</f>
        <v>0</v>
      </c>
      <c r="I116" s="103">
        <f>+'Expense Input'!S19</f>
        <v>5004.1693095877044</v>
      </c>
      <c r="J116" s="129" t="str">
        <f t="shared" si="156"/>
        <v>*</v>
      </c>
      <c r="L116" s="132">
        <f t="shared" si="314"/>
        <v>0</v>
      </c>
      <c r="M116" s="132">
        <f t="shared" si="315"/>
        <v>5004.1693095877044</v>
      </c>
      <c r="N116" s="130"/>
      <c r="O116" s="136"/>
      <c r="P116" s="136">
        <f t="shared" ref="P116:P123" si="324">IF(B116=490,G116,0)</f>
        <v>0</v>
      </c>
      <c r="Q116" s="136">
        <f t="shared" ref="Q116:Q123" si="325">IF(B116=410,H116,0)</f>
        <v>0</v>
      </c>
      <c r="R116" s="136">
        <f t="shared" ref="R116:R123" si="326">IF(B116=432,H116,0)</f>
        <v>0</v>
      </c>
      <c r="S116" s="136">
        <f t="shared" si="161"/>
        <v>0</v>
      </c>
      <c r="T116" s="136">
        <f t="shared" si="162"/>
        <v>0</v>
      </c>
      <c r="U116" s="136">
        <f t="shared" si="162"/>
        <v>0</v>
      </c>
      <c r="V116" s="136">
        <f t="shared" si="163"/>
        <v>0</v>
      </c>
      <c r="W116" s="136">
        <f t="shared" si="164"/>
        <v>0</v>
      </c>
      <c r="X116" s="130">
        <f t="shared" si="305"/>
        <v>0</v>
      </c>
      <c r="Z116" s="103">
        <f t="shared" si="316"/>
        <v>7141.8198950963651</v>
      </c>
      <c r="AA116" s="103">
        <f>+H116/H$11*AA$11*Inf</f>
        <v>0</v>
      </c>
      <c r="AB116" s="103">
        <f>+I116/I$11*AB$11*Inf</f>
        <v>7141.8198950963651</v>
      </c>
      <c r="AD116" s="103">
        <f t="shared" si="318"/>
        <v>7213.2380940473286</v>
      </c>
      <c r="AE116" s="103">
        <f>+AA116/AA$11*AE$11*Inf</f>
        <v>0</v>
      </c>
      <c r="AF116" s="103">
        <f>+AB116/AB$11*AF$11*Inf</f>
        <v>7213.2380940473286</v>
      </c>
      <c r="AH116" s="103">
        <f t="shared" si="320"/>
        <v>7845.783588448402</v>
      </c>
      <c r="AI116" s="103">
        <f>+AE116/AE$11*AI$11*Inf</f>
        <v>0</v>
      </c>
      <c r="AJ116" s="103">
        <f>+AF116/AF$11*AJ$11*Inf</f>
        <v>7845.783588448402</v>
      </c>
      <c r="AL116" s="103">
        <f t="shared" si="322"/>
        <v>7924.2414243328858</v>
      </c>
      <c r="AM116" s="103">
        <f>+AI116/AI$11*AM$11*Inf</f>
        <v>0</v>
      </c>
      <c r="AN116" s="103">
        <f>+AJ116/AJ$11*AN$11*Inf</f>
        <v>7924.2414243328858</v>
      </c>
      <c r="AO116" s="165" t="s">
        <v>42</v>
      </c>
    </row>
    <row r="117" spans="1:41" hidden="1" x14ac:dyDescent="0.25">
      <c r="A117" s="131"/>
      <c r="B117" s="134">
        <f>+'Expense Input'!B20</f>
        <v>435</v>
      </c>
      <c r="C117" s="134">
        <f>+'Expense Input'!C20</f>
        <v>4000</v>
      </c>
      <c r="D117" s="134">
        <f>+'Expense Input'!D20</f>
        <v>5101</v>
      </c>
      <c r="E117" s="134">
        <f>+'Expense Input'!E20</f>
        <v>365</v>
      </c>
      <c r="F117" s="134" t="str">
        <f>+'Expense Input'!F20</f>
        <v>Software, License, Support &amp; Maintenance</v>
      </c>
      <c r="G117" s="103">
        <f>+'Expense Input'!Q20</f>
        <v>0</v>
      </c>
      <c r="H117" s="103">
        <f>+'Expense Input'!R20</f>
        <v>0</v>
      </c>
      <c r="I117" s="103">
        <f>+'Expense Input'!S20</f>
        <v>0</v>
      </c>
      <c r="J117" s="129" t="str">
        <f t="shared" si="156"/>
        <v/>
      </c>
      <c r="L117" s="132">
        <f t="shared" si="314"/>
        <v>0</v>
      </c>
      <c r="M117" s="132">
        <f t="shared" si="315"/>
        <v>0</v>
      </c>
      <c r="N117" s="130"/>
      <c r="O117" s="136"/>
      <c r="P117" s="136">
        <f t="shared" si="324"/>
        <v>0</v>
      </c>
      <c r="Q117" s="136">
        <f t="shared" si="325"/>
        <v>0</v>
      </c>
      <c r="R117" s="136">
        <f t="shared" si="326"/>
        <v>0</v>
      </c>
      <c r="S117" s="136">
        <f t="shared" si="161"/>
        <v>0</v>
      </c>
      <c r="T117" s="136">
        <f t="shared" si="162"/>
        <v>0</v>
      </c>
      <c r="U117" s="136">
        <f t="shared" si="162"/>
        <v>0</v>
      </c>
      <c r="V117" s="136">
        <f t="shared" si="163"/>
        <v>0</v>
      </c>
      <c r="W117" s="136">
        <f t="shared" si="164"/>
        <v>0</v>
      </c>
      <c r="X117" s="130">
        <f t="shared" si="305"/>
        <v>0</v>
      </c>
      <c r="Z117" s="103">
        <f t="shared" si="316"/>
        <v>0</v>
      </c>
      <c r="AA117" s="103">
        <f>+H117*Inf</f>
        <v>0</v>
      </c>
      <c r="AB117" s="103">
        <f>+I117*Inf</f>
        <v>0</v>
      </c>
      <c r="AD117" s="103">
        <f t="shared" si="318"/>
        <v>0</v>
      </c>
      <c r="AE117" s="103">
        <f>+AA117*Inf</f>
        <v>0</v>
      </c>
      <c r="AF117" s="103">
        <f>+AB117*Inf</f>
        <v>0</v>
      </c>
      <c r="AH117" s="103">
        <f t="shared" si="320"/>
        <v>0</v>
      </c>
      <c r="AI117" s="103">
        <f>+AE117*Inf</f>
        <v>0</v>
      </c>
      <c r="AJ117" s="103">
        <f>+AF117*Inf</f>
        <v>0</v>
      </c>
      <c r="AL117" s="103">
        <f t="shared" si="322"/>
        <v>0</v>
      </c>
      <c r="AM117" s="103">
        <f>+AI117*Inf</f>
        <v>0</v>
      </c>
      <c r="AN117" s="103">
        <f>+AJ117*Inf</f>
        <v>0</v>
      </c>
      <c r="AO117" s="165" t="s">
        <v>35</v>
      </c>
    </row>
    <row r="118" spans="1:41" x14ac:dyDescent="0.25">
      <c r="A118" s="131"/>
      <c r="B118" s="134">
        <f>+'Expense Input'!B21</f>
        <v>100</v>
      </c>
      <c r="C118" s="134">
        <f>+'Expense Input'!C21</f>
        <v>4000</v>
      </c>
      <c r="D118" s="134">
        <f>+'Expense Input'!D21</f>
        <v>5100</v>
      </c>
      <c r="E118" s="134">
        <f>+'Expense Input'!E21</f>
        <v>390</v>
      </c>
      <c r="F118" s="134" t="str">
        <f>+'Expense Input'!F21</f>
        <v>Copy and Printing</v>
      </c>
      <c r="G118" s="103">
        <f>+'Expense Input'!Q21</f>
        <v>17698.9383137162</v>
      </c>
      <c r="H118" s="103">
        <f>+'Expense Input'!R21</f>
        <v>8849.4691568581002</v>
      </c>
      <c r="I118" s="103">
        <f>+'Expense Input'!S21</f>
        <v>8849.4691568581002</v>
      </c>
      <c r="J118" s="129" t="str">
        <f t="shared" si="156"/>
        <v>*</v>
      </c>
      <c r="L118" s="132">
        <f t="shared" si="314"/>
        <v>0</v>
      </c>
      <c r="M118" s="132">
        <f t="shared" si="315"/>
        <v>17698.9383137162</v>
      </c>
      <c r="N118" s="130"/>
      <c r="O118" s="136"/>
      <c r="P118" s="136">
        <f t="shared" si="324"/>
        <v>0</v>
      </c>
      <c r="Q118" s="136">
        <f t="shared" si="325"/>
        <v>0</v>
      </c>
      <c r="R118" s="136">
        <f t="shared" si="326"/>
        <v>0</v>
      </c>
      <c r="S118" s="136">
        <f t="shared" si="161"/>
        <v>0</v>
      </c>
      <c r="T118" s="136">
        <f t="shared" si="162"/>
        <v>0</v>
      </c>
      <c r="U118" s="136">
        <f t="shared" si="162"/>
        <v>0</v>
      </c>
      <c r="V118" s="136">
        <f t="shared" si="163"/>
        <v>0</v>
      </c>
      <c r="W118" s="136">
        <f t="shared" si="164"/>
        <v>0</v>
      </c>
      <c r="X118" s="130">
        <f t="shared" si="305"/>
        <v>0</v>
      </c>
      <c r="Z118" s="103">
        <f t="shared" si="316"/>
        <v>22312.525694079653</v>
      </c>
      <c r="AA118" s="103">
        <f>+H118/H$11*AA$11*Inf</f>
        <v>9682.7941691289052</v>
      </c>
      <c r="AB118" s="103">
        <f>+I118/I$11*AB$11*Inf</f>
        <v>12629.731524950746</v>
      </c>
      <c r="AD118" s="103">
        <f t="shared" si="318"/>
        <v>22535.650951020449</v>
      </c>
      <c r="AE118" s="103">
        <f>+AA118/AA$11*AE$11*Inf</f>
        <v>9779.6221108201935</v>
      </c>
      <c r="AF118" s="103">
        <f>+AB118/AB$11*AF$11*Inf</f>
        <v>12756.028840200253</v>
      </c>
      <c r="AH118" s="103">
        <f t="shared" si="320"/>
        <v>24511.85418826378</v>
      </c>
      <c r="AI118" s="103">
        <f>+AE118/AE$11*AI$11*Inf</f>
        <v>10637.219742076733</v>
      </c>
      <c r="AJ118" s="103">
        <f>+AF118/AF$11*AJ$11*Inf</f>
        <v>13874.634446187045</v>
      </c>
      <c r="AL118" s="103">
        <f t="shared" si="322"/>
        <v>24756.972730146415</v>
      </c>
      <c r="AM118" s="103">
        <f>+AI118/AI$11*AM$11*Inf</f>
        <v>10743.591939497501</v>
      </c>
      <c r="AN118" s="103">
        <f>+AJ118/AJ$11*AN$11*Inf</f>
        <v>14013.380790648915</v>
      </c>
      <c r="AO118" s="165" t="s">
        <v>42</v>
      </c>
    </row>
    <row r="119" spans="1:41" hidden="1" x14ac:dyDescent="0.25">
      <c r="A119" s="131"/>
      <c r="B119" s="134">
        <f>+'Expense Input'!B22</f>
        <v>432</v>
      </c>
      <c r="C119" s="134">
        <f>+'Expense Input'!C22</f>
        <v>4000</v>
      </c>
      <c r="D119" s="134">
        <f>+'Expense Input'!D22</f>
        <v>5100</v>
      </c>
      <c r="E119" s="134">
        <f>+'Expense Input'!E22</f>
        <v>390</v>
      </c>
      <c r="F119" s="134" t="str">
        <f>+'Expense Input'!F22</f>
        <v>Copy and Printing</v>
      </c>
      <c r="G119" s="103">
        <f>+'Expense Input'!Q22</f>
        <v>0</v>
      </c>
      <c r="H119" s="103">
        <f>+'Expense Input'!R22</f>
        <v>0</v>
      </c>
      <c r="I119" s="103">
        <f>+'Expense Input'!S22</f>
        <v>0</v>
      </c>
      <c r="J119" s="129" t="str">
        <f t="shared" ref="J119:J133" si="327">IF(G119&gt;0.49,"*","")</f>
        <v/>
      </c>
      <c r="L119" s="132">
        <f t="shared" si="314"/>
        <v>0</v>
      </c>
      <c r="M119" s="132">
        <f t="shared" si="315"/>
        <v>0</v>
      </c>
      <c r="N119" s="130"/>
      <c r="O119" s="136"/>
      <c r="P119" s="136">
        <f t="shared" si="324"/>
        <v>0</v>
      </c>
      <c r="Q119" s="136">
        <f t="shared" si="325"/>
        <v>0</v>
      </c>
      <c r="R119" s="136">
        <f t="shared" si="326"/>
        <v>0</v>
      </c>
      <c r="S119" s="136">
        <f t="shared" si="161"/>
        <v>0</v>
      </c>
      <c r="T119" s="136">
        <f t="shared" si="162"/>
        <v>0</v>
      </c>
      <c r="U119" s="136">
        <f t="shared" si="162"/>
        <v>0</v>
      </c>
      <c r="V119" s="136">
        <f t="shared" si="163"/>
        <v>0</v>
      </c>
      <c r="W119" s="136">
        <f t="shared" si="164"/>
        <v>0</v>
      </c>
      <c r="X119" s="130">
        <f t="shared" si="305"/>
        <v>0</v>
      </c>
      <c r="Z119" s="103">
        <f t="shared" si="316"/>
        <v>0</v>
      </c>
      <c r="AA119" s="103">
        <f>+H119*Inf</f>
        <v>0</v>
      </c>
      <c r="AB119" s="103">
        <f>+I119*Inf</f>
        <v>0</v>
      </c>
      <c r="AD119" s="103">
        <f t="shared" si="318"/>
        <v>0</v>
      </c>
      <c r="AE119" s="103">
        <f>+AA119*Inf</f>
        <v>0</v>
      </c>
      <c r="AF119" s="103">
        <f>+AB119*Inf</f>
        <v>0</v>
      </c>
      <c r="AH119" s="103">
        <f t="shared" si="320"/>
        <v>0</v>
      </c>
      <c r="AI119" s="103">
        <f>+AE119*Inf</f>
        <v>0</v>
      </c>
      <c r="AJ119" s="103">
        <f>+AF119*Inf</f>
        <v>0</v>
      </c>
      <c r="AL119" s="103">
        <f t="shared" si="322"/>
        <v>0</v>
      </c>
      <c r="AM119" s="103">
        <f>+AI119*Inf</f>
        <v>0</v>
      </c>
      <c r="AN119" s="103">
        <f>+AJ119*Inf</f>
        <v>0</v>
      </c>
      <c r="AO119" s="165" t="s">
        <v>35</v>
      </c>
    </row>
    <row r="120" spans="1:41" hidden="1" x14ac:dyDescent="0.25">
      <c r="A120" s="131"/>
      <c r="B120" s="134">
        <f>+'Expense Input'!B23</f>
        <v>493</v>
      </c>
      <c r="C120" s="134">
        <f>+'Expense Input'!C23</f>
        <v>4000</v>
      </c>
      <c r="D120" s="134">
        <f>+'Expense Input'!D23</f>
        <v>5100</v>
      </c>
      <c r="E120" s="134">
        <f>+'Expense Input'!E23</f>
        <v>390</v>
      </c>
      <c r="F120" s="134" t="str">
        <f>+'Expense Input'!F23</f>
        <v>Copy and Printing</v>
      </c>
      <c r="G120" s="103">
        <f>+'Expense Input'!Q23</f>
        <v>0</v>
      </c>
      <c r="H120" s="103">
        <f>+'Expense Input'!R23</f>
        <v>0</v>
      </c>
      <c r="I120" s="103">
        <f>+'Expense Input'!S23</f>
        <v>0</v>
      </c>
      <c r="J120" s="129" t="str">
        <f t="shared" si="327"/>
        <v/>
      </c>
      <c r="L120" s="132">
        <f t="shared" si="314"/>
        <v>0</v>
      </c>
      <c r="M120" s="132">
        <f t="shared" si="315"/>
        <v>0</v>
      </c>
      <c r="N120" s="130"/>
      <c r="O120" s="136"/>
      <c r="P120" s="136">
        <f t="shared" si="324"/>
        <v>0</v>
      </c>
      <c r="Q120" s="136">
        <f t="shared" si="325"/>
        <v>0</v>
      </c>
      <c r="R120" s="136">
        <f t="shared" si="326"/>
        <v>0</v>
      </c>
      <c r="S120" s="136">
        <f t="shared" si="161"/>
        <v>0</v>
      </c>
      <c r="T120" s="136">
        <f t="shared" si="162"/>
        <v>0</v>
      </c>
      <c r="U120" s="136">
        <f t="shared" si="162"/>
        <v>0</v>
      </c>
      <c r="V120" s="136">
        <f t="shared" si="163"/>
        <v>0</v>
      </c>
      <c r="W120" s="136">
        <f t="shared" si="164"/>
        <v>0</v>
      </c>
      <c r="X120" s="130">
        <f t="shared" si="305"/>
        <v>0</v>
      </c>
      <c r="Z120" s="103">
        <f t="shared" si="316"/>
        <v>0</v>
      </c>
      <c r="AA120" s="103">
        <f>+H120/H$11*AA$11*Inf</f>
        <v>0</v>
      </c>
      <c r="AB120" s="103">
        <f>+I120/I$11*AB$11*Inf</f>
        <v>0</v>
      </c>
      <c r="AD120" s="103">
        <f t="shared" si="318"/>
        <v>0</v>
      </c>
      <c r="AE120" s="103">
        <f>+AA120/AA$11*AE$11*Inf</f>
        <v>0</v>
      </c>
      <c r="AF120" s="103">
        <f>+AB120/AB$11*AF$11*Inf</f>
        <v>0</v>
      </c>
      <c r="AH120" s="103">
        <f t="shared" si="320"/>
        <v>0</v>
      </c>
      <c r="AI120" s="103">
        <f>+AE120/AE$11*AI$11*Inf</f>
        <v>0</v>
      </c>
      <c r="AJ120" s="103">
        <f>+AF120/AF$11*AJ$11*Inf</f>
        <v>0</v>
      </c>
      <c r="AL120" s="103">
        <f t="shared" si="322"/>
        <v>0</v>
      </c>
      <c r="AM120" s="103">
        <f>+AI120/AI$11*AM$11*Inf</f>
        <v>0</v>
      </c>
      <c r="AN120" s="103">
        <f>+AJ120/AJ$11*AN$11*Inf</f>
        <v>0</v>
      </c>
      <c r="AO120" s="165" t="s">
        <v>32</v>
      </c>
    </row>
    <row r="121" spans="1:41" hidden="1" x14ac:dyDescent="0.25">
      <c r="A121" s="131"/>
      <c r="B121" s="134">
        <f>+'Expense Input'!B24</f>
        <v>495</v>
      </c>
      <c r="C121" s="134">
        <f>+'Expense Input'!C24</f>
        <v>4000</v>
      </c>
      <c r="D121" s="134">
        <f>+'Expense Input'!D24</f>
        <v>5100</v>
      </c>
      <c r="E121" s="134">
        <f>+'Expense Input'!E24</f>
        <v>390</v>
      </c>
      <c r="F121" s="134" t="str">
        <f>+'Expense Input'!F24</f>
        <v>Copy and Printing</v>
      </c>
      <c r="G121" s="103">
        <f>+'Expense Input'!Q24</f>
        <v>0</v>
      </c>
      <c r="H121" s="103">
        <f>+'Expense Input'!R24</f>
        <v>0</v>
      </c>
      <c r="I121" s="103">
        <f>+'Expense Input'!S24</f>
        <v>0</v>
      </c>
      <c r="J121" s="129" t="str">
        <f t="shared" si="327"/>
        <v/>
      </c>
      <c r="L121" s="132">
        <f t="shared" si="314"/>
        <v>0</v>
      </c>
      <c r="M121" s="132">
        <f t="shared" si="315"/>
        <v>0</v>
      </c>
      <c r="N121" s="130"/>
      <c r="O121" s="136"/>
      <c r="P121" s="136">
        <f t="shared" si="324"/>
        <v>0</v>
      </c>
      <c r="Q121" s="136">
        <f t="shared" si="325"/>
        <v>0</v>
      </c>
      <c r="R121" s="136">
        <f t="shared" si="326"/>
        <v>0</v>
      </c>
      <c r="S121" s="136">
        <f t="shared" si="161"/>
        <v>0</v>
      </c>
      <c r="T121" s="136">
        <f t="shared" si="162"/>
        <v>0</v>
      </c>
      <c r="U121" s="136">
        <f t="shared" si="162"/>
        <v>0</v>
      </c>
      <c r="V121" s="136">
        <f t="shared" si="163"/>
        <v>0</v>
      </c>
      <c r="W121" s="136">
        <f t="shared" si="164"/>
        <v>0</v>
      </c>
      <c r="X121" s="130">
        <f t="shared" si="305"/>
        <v>0</v>
      </c>
      <c r="Z121" s="103">
        <f t="shared" si="316"/>
        <v>0</v>
      </c>
      <c r="AA121" s="103">
        <f>+H121/H$11*AA$11*Inf</f>
        <v>0</v>
      </c>
      <c r="AB121" s="103">
        <f>+I121/I$11*AB$11*Inf</f>
        <v>0</v>
      </c>
      <c r="AD121" s="103">
        <f t="shared" si="318"/>
        <v>0</v>
      </c>
      <c r="AE121" s="103">
        <f>+AA121/AA$11*AE$11*Inf</f>
        <v>0</v>
      </c>
      <c r="AF121" s="103">
        <f>+AB121/AB$11*AF$11*Inf</f>
        <v>0</v>
      </c>
      <c r="AH121" s="103">
        <f t="shared" si="320"/>
        <v>0</v>
      </c>
      <c r="AI121" s="103">
        <f>+AE121/AE$11*AI$11*Inf</f>
        <v>0</v>
      </c>
      <c r="AJ121" s="103">
        <f>+AF121/AF$11*AJ$11*Inf</f>
        <v>0</v>
      </c>
      <c r="AL121" s="103">
        <f t="shared" si="322"/>
        <v>0</v>
      </c>
      <c r="AM121" s="103">
        <f>+AI121/AI$11*AM$11*Inf</f>
        <v>0</v>
      </c>
      <c r="AN121" s="103">
        <f>+AJ121/AJ$11*AN$11*Inf</f>
        <v>0</v>
      </c>
      <c r="AO121" s="165" t="s">
        <v>42</v>
      </c>
    </row>
    <row r="122" spans="1:41" x14ac:dyDescent="0.25">
      <c r="A122" s="131"/>
      <c r="B122" s="134">
        <f>+'Expense Input'!B25</f>
        <v>100</v>
      </c>
      <c r="C122" s="134">
        <f>+'Expense Input'!C25</f>
        <v>4000</v>
      </c>
      <c r="D122" s="134">
        <f>+'Expense Input'!D25</f>
        <v>5100</v>
      </c>
      <c r="E122" s="134">
        <f>+'Expense Input'!E25</f>
        <v>510</v>
      </c>
      <c r="F122" s="134" t="str">
        <f>+'Expense Input'!F25</f>
        <v>Instructional Materials</v>
      </c>
      <c r="G122" s="103">
        <f>+'Expense Input'!Q25</f>
        <v>107812.98875821437</v>
      </c>
      <c r="H122" s="103">
        <f>+'Expense Input'!R25</f>
        <v>67511.789377877692</v>
      </c>
      <c r="I122" s="103">
        <f>+'Expense Input'!S25</f>
        <v>40301.199380336679</v>
      </c>
      <c r="J122" s="129" t="str">
        <f t="shared" ref="J122" si="328">IF(G122&gt;0.49,"*","")</f>
        <v>*</v>
      </c>
      <c r="L122" s="132">
        <f t="shared" si="314"/>
        <v>0</v>
      </c>
      <c r="M122" s="132">
        <f t="shared" si="315"/>
        <v>107812.98875821437</v>
      </c>
      <c r="N122" s="130"/>
      <c r="O122" s="136"/>
      <c r="P122" s="136">
        <f t="shared" si="324"/>
        <v>0</v>
      </c>
      <c r="Q122" s="136">
        <f t="shared" si="325"/>
        <v>0</v>
      </c>
      <c r="R122" s="136">
        <f t="shared" si="326"/>
        <v>0</v>
      </c>
      <c r="S122" s="136">
        <f t="shared" si="161"/>
        <v>0</v>
      </c>
      <c r="T122" s="136">
        <f t="shared" si="162"/>
        <v>0</v>
      </c>
      <c r="U122" s="136">
        <f t="shared" si="162"/>
        <v>0</v>
      </c>
      <c r="V122" s="136"/>
      <c r="W122" s="136"/>
      <c r="X122" s="130"/>
      <c r="Z122" s="103">
        <f t="shared" si="316"/>
        <v>108891.11864579652</v>
      </c>
      <c r="AA122" s="103">
        <f>+H122*Inf</f>
        <v>68186.90727165647</v>
      </c>
      <c r="AB122" s="103">
        <f>+I122*Inf</f>
        <v>40704.211374140046</v>
      </c>
      <c r="AD122" s="103">
        <f t="shared" si="318"/>
        <v>109980.02983225448</v>
      </c>
      <c r="AE122" s="103">
        <f>+AA122*Inf</f>
        <v>68868.776344373036</v>
      </c>
      <c r="AF122" s="103">
        <f>+AB122*Inf</f>
        <v>41111.253487881448</v>
      </c>
      <c r="AH122" s="103">
        <f t="shared" si="320"/>
        <v>111079.83013057703</v>
      </c>
      <c r="AI122" s="103">
        <f>+AE122*Inf</f>
        <v>69557.464107816762</v>
      </c>
      <c r="AJ122" s="103">
        <f>+AF122*Inf</f>
        <v>41522.36602276026</v>
      </c>
      <c r="AL122" s="103">
        <f t="shared" si="322"/>
        <v>112190.6284318828</v>
      </c>
      <c r="AM122" s="103">
        <f>+AI122*Inf</f>
        <v>70253.038748894935</v>
      </c>
      <c r="AN122" s="103">
        <f>+AJ122*Inf</f>
        <v>41937.589682987862</v>
      </c>
      <c r="AO122" s="165" t="s">
        <v>35</v>
      </c>
    </row>
    <row r="123" spans="1:41" ht="13.2" customHeight="1" x14ac:dyDescent="0.25">
      <c r="A123" s="131"/>
      <c r="B123" s="134">
        <f>+'Expense Input'!B26</f>
        <v>432</v>
      </c>
      <c r="C123" s="134">
        <f>+'Expense Input'!C26</f>
        <v>4000</v>
      </c>
      <c r="D123" s="134">
        <f>+'Expense Input'!D26</f>
        <v>5100</v>
      </c>
      <c r="E123" s="134">
        <f>+'Expense Input'!E26</f>
        <v>510</v>
      </c>
      <c r="F123" s="134" t="str">
        <f>+'Expense Input'!F26</f>
        <v>Instructional Materials</v>
      </c>
      <c r="G123" s="103">
        <f>+'Expense Input'!Q26</f>
        <v>14926</v>
      </c>
      <c r="H123" s="103">
        <f>+'Expense Input'!R26</f>
        <v>9708</v>
      </c>
      <c r="I123" s="103">
        <f>+'Expense Input'!S26</f>
        <v>5218</v>
      </c>
      <c r="J123" s="129" t="str">
        <f t="shared" si="327"/>
        <v>*</v>
      </c>
      <c r="L123" s="132">
        <f t="shared" si="314"/>
        <v>0</v>
      </c>
      <c r="M123" s="132">
        <f t="shared" si="315"/>
        <v>14926</v>
      </c>
      <c r="N123" s="130"/>
      <c r="O123" s="136"/>
      <c r="P123" s="136">
        <f t="shared" si="324"/>
        <v>0</v>
      </c>
      <c r="Q123" s="136">
        <f t="shared" si="325"/>
        <v>0</v>
      </c>
      <c r="R123" s="136">
        <f t="shared" si="326"/>
        <v>9708</v>
      </c>
      <c r="S123" s="136">
        <f t="shared" si="161"/>
        <v>5218</v>
      </c>
      <c r="T123" s="136">
        <f t="shared" si="162"/>
        <v>0</v>
      </c>
      <c r="U123" s="136">
        <f t="shared" si="162"/>
        <v>0</v>
      </c>
      <c r="V123" s="136">
        <f t="shared" si="163"/>
        <v>0</v>
      </c>
      <c r="W123" s="136">
        <f t="shared" si="164"/>
        <v>0</v>
      </c>
      <c r="X123" s="130">
        <f t="shared" si="305"/>
        <v>0</v>
      </c>
      <c r="Z123" s="103">
        <f t="shared" si="316"/>
        <v>18069.163478260867</v>
      </c>
      <c r="AA123" s="103">
        <f t="shared" ref="AA123:AA138" si="329">+H123/H$11*AA$11*Inf</f>
        <v>10622.17</v>
      </c>
      <c r="AB123" s="103">
        <f t="shared" ref="AB123:AB138" si="330">+I123/I$11*AB$11*Inf</f>
        <v>7446.9934782608689</v>
      </c>
      <c r="AD123" s="103">
        <f t="shared" si="318"/>
        <v>18249.855113043479</v>
      </c>
      <c r="AE123" s="103">
        <f t="shared" ref="AE123:AE138" si="331">+AA123/AA$11*AE$11*Inf</f>
        <v>10728.3917</v>
      </c>
      <c r="AF123" s="103">
        <f t="shared" ref="AF123:AF138" si="332">+AB123/AB$11*AF$11*Inf</f>
        <v>7521.4634130434779</v>
      </c>
      <c r="AH123" s="103">
        <f t="shared" si="320"/>
        <v>19850.227022956522</v>
      </c>
      <c r="AI123" s="103">
        <f t="shared" ref="AI123:AI138" si="333">+AE123/AE$11*AI$11*Inf</f>
        <v>11669.189125999999</v>
      </c>
      <c r="AJ123" s="103">
        <f t="shared" ref="AJ123:AJ138" si="334">+AF123/AF$11*AJ$11*Inf</f>
        <v>8181.0378969565218</v>
      </c>
      <c r="AL123" s="103">
        <f t="shared" si="322"/>
        <v>20048.729293186087</v>
      </c>
      <c r="AM123" s="103">
        <f t="shared" ref="AM123:AM138" si="335">+AI123/AI$11*AM$11*Inf</f>
        <v>11785.881017259999</v>
      </c>
      <c r="AN123" s="103">
        <f t="shared" ref="AN123:AN138" si="336">+AJ123/AJ$11*AN$11*Inf</f>
        <v>8262.8482759260878</v>
      </c>
      <c r="AO123" s="165" t="s">
        <v>32</v>
      </c>
    </row>
    <row r="124" spans="1:41" hidden="1" x14ac:dyDescent="0.25">
      <c r="A124" s="131"/>
      <c r="B124" s="134">
        <f>+'Expense Input'!B27</f>
        <v>435</v>
      </c>
      <c r="C124" s="134">
        <f>+'Expense Input'!C27</f>
        <v>4000</v>
      </c>
      <c r="D124" s="134">
        <f>+'Expense Input'!D27</f>
        <v>5100</v>
      </c>
      <c r="E124" s="134">
        <f>+'Expense Input'!E27</f>
        <v>510</v>
      </c>
      <c r="F124" s="134" t="str">
        <f>+'Expense Input'!F27</f>
        <v>Instructional Materials</v>
      </c>
      <c r="G124" s="103">
        <f>+'Expense Input'!Q27</f>
        <v>0</v>
      </c>
      <c r="H124" s="103">
        <f>+'Expense Input'!R27</f>
        <v>0</v>
      </c>
      <c r="I124" s="103">
        <f>+'Expense Input'!S27</f>
        <v>0</v>
      </c>
      <c r="J124" s="129" t="str">
        <f t="shared" ref="J124" si="337">IF(G124&gt;0.49,"*","")</f>
        <v/>
      </c>
      <c r="L124" s="132">
        <f t="shared" si="314"/>
        <v>0</v>
      </c>
      <c r="M124" s="132">
        <f t="shared" si="315"/>
        <v>0</v>
      </c>
      <c r="N124" s="130"/>
      <c r="O124" s="136"/>
      <c r="P124" s="136">
        <f t="shared" si="158"/>
        <v>0</v>
      </c>
      <c r="Q124" s="136">
        <f t="shared" si="159"/>
        <v>0</v>
      </c>
      <c r="R124" s="136">
        <f t="shared" si="160"/>
        <v>0</v>
      </c>
      <c r="S124" s="136">
        <f t="shared" si="161"/>
        <v>0</v>
      </c>
      <c r="T124" s="136">
        <f t="shared" si="162"/>
        <v>0</v>
      </c>
      <c r="U124" s="136">
        <f t="shared" si="162"/>
        <v>0</v>
      </c>
      <c r="V124" s="136">
        <f t="shared" si="163"/>
        <v>0</v>
      </c>
      <c r="W124" s="136">
        <f t="shared" si="164"/>
        <v>0</v>
      </c>
      <c r="X124" s="130">
        <f t="shared" si="305"/>
        <v>0</v>
      </c>
      <c r="Z124" s="103">
        <f t="shared" ref="Z124" si="338">AA124+AB124</f>
        <v>0</v>
      </c>
      <c r="AA124" s="103">
        <f t="shared" si="329"/>
        <v>0</v>
      </c>
      <c r="AB124" s="103">
        <f t="shared" si="330"/>
        <v>0</v>
      </c>
      <c r="AD124" s="103">
        <f t="shared" ref="AD124" si="339">AE124+AF124</f>
        <v>0</v>
      </c>
      <c r="AE124" s="103">
        <f t="shared" si="331"/>
        <v>0</v>
      </c>
      <c r="AF124" s="103">
        <f t="shared" si="332"/>
        <v>0</v>
      </c>
      <c r="AH124" s="103">
        <f t="shared" ref="AH124" si="340">AI124+AJ124</f>
        <v>0</v>
      </c>
      <c r="AI124" s="103">
        <f t="shared" si="333"/>
        <v>0</v>
      </c>
      <c r="AJ124" s="103">
        <f t="shared" si="334"/>
        <v>0</v>
      </c>
      <c r="AL124" s="103">
        <f t="shared" ref="AL124" si="341">AM124+AN124</f>
        <v>0</v>
      </c>
      <c r="AM124" s="103">
        <f t="shared" si="335"/>
        <v>0</v>
      </c>
      <c r="AN124" s="103">
        <f t="shared" si="336"/>
        <v>0</v>
      </c>
      <c r="AO124" s="165" t="s">
        <v>42</v>
      </c>
    </row>
    <row r="125" spans="1:41" s="1" customFormat="1" hidden="1" x14ac:dyDescent="0.25">
      <c r="A125" s="131"/>
      <c r="B125" s="134">
        <f>+'Expense Input'!B28</f>
        <v>493</v>
      </c>
      <c r="C125" s="134">
        <f>+'Expense Input'!C28</f>
        <v>4000</v>
      </c>
      <c r="D125" s="134">
        <f>+'Expense Input'!D28</f>
        <v>5100</v>
      </c>
      <c r="E125" s="134">
        <f>+'Expense Input'!E28</f>
        <v>510</v>
      </c>
      <c r="F125" s="134" t="str">
        <f>+'Expense Input'!F28</f>
        <v>Instructional Materials</v>
      </c>
      <c r="G125" s="103">
        <f>+'Expense Input'!Q28</f>
        <v>0</v>
      </c>
      <c r="H125" s="103">
        <f>+'Expense Input'!R28</f>
        <v>0</v>
      </c>
      <c r="I125" s="103">
        <f>+'Expense Input'!S28</f>
        <v>0</v>
      </c>
      <c r="J125" s="129" t="str">
        <f t="shared" si="327"/>
        <v/>
      </c>
      <c r="K125" s="129"/>
      <c r="L125" s="132">
        <f t="shared" si="314"/>
        <v>0</v>
      </c>
      <c r="M125" s="132">
        <f t="shared" si="315"/>
        <v>0</v>
      </c>
      <c r="N125" s="130"/>
      <c r="O125" s="136"/>
      <c r="P125" s="136">
        <f t="shared" si="158"/>
        <v>0</v>
      </c>
      <c r="Q125" s="136">
        <f t="shared" si="159"/>
        <v>0</v>
      </c>
      <c r="R125" s="136">
        <f t="shared" si="160"/>
        <v>0</v>
      </c>
      <c r="S125" s="136">
        <f t="shared" si="161"/>
        <v>0</v>
      </c>
      <c r="T125" s="136">
        <f t="shared" si="162"/>
        <v>0</v>
      </c>
      <c r="U125" s="136">
        <f t="shared" si="162"/>
        <v>0</v>
      </c>
      <c r="V125" s="136">
        <f t="shared" si="163"/>
        <v>0</v>
      </c>
      <c r="W125" s="136">
        <f t="shared" si="164"/>
        <v>0</v>
      </c>
      <c r="X125" s="130">
        <f t="shared" si="305"/>
        <v>0</v>
      </c>
      <c r="Y125" s="129"/>
      <c r="Z125" s="103">
        <f t="shared" ref="Z125:Z127" si="342">AA125+AB125</f>
        <v>0</v>
      </c>
      <c r="AA125" s="103">
        <f t="shared" si="329"/>
        <v>0</v>
      </c>
      <c r="AB125" s="103">
        <f t="shared" si="330"/>
        <v>0</v>
      </c>
      <c r="AC125" s="77"/>
      <c r="AD125" s="103">
        <f t="shared" ref="AD125:AD127" si="343">AE125+AF125</f>
        <v>0</v>
      </c>
      <c r="AE125" s="103">
        <f t="shared" si="331"/>
        <v>0</v>
      </c>
      <c r="AF125" s="103">
        <f t="shared" si="332"/>
        <v>0</v>
      </c>
      <c r="AG125" s="77"/>
      <c r="AH125" s="103">
        <f t="shared" ref="AH125:AH127" si="344">AI125+AJ125</f>
        <v>0</v>
      </c>
      <c r="AI125" s="103">
        <f t="shared" si="333"/>
        <v>0</v>
      </c>
      <c r="AJ125" s="103">
        <f t="shared" si="334"/>
        <v>0</v>
      </c>
      <c r="AK125" s="77"/>
      <c r="AL125" s="103">
        <f t="shared" ref="AL125:AL127" si="345">AM125+AN125</f>
        <v>0</v>
      </c>
      <c r="AM125" s="103">
        <f t="shared" si="335"/>
        <v>0</v>
      </c>
      <c r="AN125" s="103">
        <f t="shared" si="336"/>
        <v>0</v>
      </c>
      <c r="AO125" s="165" t="s">
        <v>42</v>
      </c>
    </row>
    <row r="126" spans="1:41" s="1" customFormat="1" x14ac:dyDescent="0.25">
      <c r="A126" s="131"/>
      <c r="B126" s="134">
        <f>+'Expense Input'!B29</f>
        <v>100</v>
      </c>
      <c r="C126" s="134">
        <f>+'Expense Input'!C29</f>
        <v>4000</v>
      </c>
      <c r="D126" s="134">
        <f>+'Expense Input'!D29</f>
        <v>5100</v>
      </c>
      <c r="E126" s="134">
        <f>+'Expense Input'!E29</f>
        <v>512</v>
      </c>
      <c r="F126" s="134" t="str">
        <f>+'Expense Input'!F29</f>
        <v>Uniforms</v>
      </c>
      <c r="G126" s="103">
        <f>+'Expense Input'!Q29</f>
        <v>30666.983248576216</v>
      </c>
      <c r="H126" s="103">
        <f>+'Expense Input'!R29</f>
        <v>13933.165756504979</v>
      </c>
      <c r="I126" s="103">
        <f>+'Expense Input'!S29</f>
        <v>16733.817492071237</v>
      </c>
      <c r="J126" s="129" t="str">
        <f t="shared" si="327"/>
        <v>*</v>
      </c>
      <c r="K126" s="129"/>
      <c r="L126" s="132">
        <f t="shared" si="314"/>
        <v>0</v>
      </c>
      <c r="M126" s="132">
        <f t="shared" si="315"/>
        <v>30666.983248576216</v>
      </c>
      <c r="N126" s="130"/>
      <c r="O126" s="136"/>
      <c r="P126" s="136">
        <f t="shared" si="158"/>
        <v>0</v>
      </c>
      <c r="Q126" s="136">
        <f t="shared" si="159"/>
        <v>0</v>
      </c>
      <c r="R126" s="136">
        <f t="shared" si="160"/>
        <v>0</v>
      </c>
      <c r="S126" s="136">
        <f t="shared" si="161"/>
        <v>0</v>
      </c>
      <c r="T126" s="136">
        <f t="shared" si="162"/>
        <v>0</v>
      </c>
      <c r="U126" s="136">
        <f t="shared" si="162"/>
        <v>0</v>
      </c>
      <c r="V126" s="136">
        <f t="shared" si="163"/>
        <v>0</v>
      </c>
      <c r="W126" s="136">
        <f t="shared" si="164"/>
        <v>0</v>
      </c>
      <c r="X126" s="130">
        <f t="shared" si="305"/>
        <v>0</v>
      </c>
      <c r="Y126" s="129"/>
      <c r="Z126" s="103">
        <f t="shared" si="342"/>
        <v>39127.273322223911</v>
      </c>
      <c r="AA126" s="103">
        <f t="shared" si="329"/>
        <v>15245.205531909198</v>
      </c>
      <c r="AB126" s="103">
        <f t="shared" si="330"/>
        <v>23882.067790314712</v>
      </c>
      <c r="AC126" s="77"/>
      <c r="AD126" s="103">
        <f t="shared" si="343"/>
        <v>39518.546055446153</v>
      </c>
      <c r="AE126" s="103">
        <f t="shared" si="331"/>
        <v>15397.65758722829</v>
      </c>
      <c r="AF126" s="103">
        <f t="shared" si="332"/>
        <v>24120.888468217861</v>
      </c>
      <c r="AG126" s="77"/>
      <c r="AH126" s="103">
        <f t="shared" si="344"/>
        <v>42984.018555692965</v>
      </c>
      <c r="AI126" s="103">
        <f t="shared" si="333"/>
        <v>16747.913714108308</v>
      </c>
      <c r="AJ126" s="103">
        <f t="shared" si="334"/>
        <v>26236.104841584656</v>
      </c>
      <c r="AK126" s="77"/>
      <c r="AL126" s="103">
        <f t="shared" si="345"/>
        <v>43413.858741249889</v>
      </c>
      <c r="AM126" s="103">
        <f t="shared" si="335"/>
        <v>16915.392851249391</v>
      </c>
      <c r="AN126" s="103">
        <f t="shared" si="336"/>
        <v>26498.465890000502</v>
      </c>
      <c r="AO126" s="165" t="s">
        <v>42</v>
      </c>
    </row>
    <row r="127" spans="1:41" s="1" customFormat="1" ht="13.2" hidden="1" customHeight="1" x14ac:dyDescent="0.25">
      <c r="A127" s="131"/>
      <c r="B127" s="134">
        <f>+'Expense Input'!B30</f>
        <v>100</v>
      </c>
      <c r="C127" s="134">
        <f>+'Expense Input'!C30</f>
        <v>4000</v>
      </c>
      <c r="D127" s="134">
        <f>+'Expense Input'!D30</f>
        <v>5100</v>
      </c>
      <c r="E127" s="134">
        <f>+'Expense Input'!E30</f>
        <v>513</v>
      </c>
      <c r="F127" s="134" t="str">
        <f>+'Expense Input'!F30</f>
        <v>Sports</v>
      </c>
      <c r="G127" s="103">
        <f>+'Expense Input'!Q30</f>
        <v>0</v>
      </c>
      <c r="H127" s="103">
        <f>+'Expense Input'!R30</f>
        <v>0</v>
      </c>
      <c r="I127" s="103">
        <f>+'Expense Input'!S30</f>
        <v>0</v>
      </c>
      <c r="J127" s="129" t="str">
        <f t="shared" si="327"/>
        <v/>
      </c>
      <c r="K127" s="129"/>
      <c r="L127" s="132">
        <f t="shared" si="194"/>
        <v>0</v>
      </c>
      <c r="M127" s="132">
        <f t="shared" si="157"/>
        <v>0</v>
      </c>
      <c r="N127" s="130"/>
      <c r="O127" s="136"/>
      <c r="P127" s="136">
        <f t="shared" si="158"/>
        <v>0</v>
      </c>
      <c r="Q127" s="136">
        <f t="shared" si="159"/>
        <v>0</v>
      </c>
      <c r="R127" s="136">
        <f t="shared" si="160"/>
        <v>0</v>
      </c>
      <c r="S127" s="136">
        <f t="shared" si="161"/>
        <v>0</v>
      </c>
      <c r="T127" s="136">
        <f t="shared" si="162"/>
        <v>0</v>
      </c>
      <c r="U127" s="136">
        <f t="shared" si="162"/>
        <v>0</v>
      </c>
      <c r="V127" s="136">
        <f t="shared" si="163"/>
        <v>0</v>
      </c>
      <c r="W127" s="136">
        <f t="shared" si="164"/>
        <v>0</v>
      </c>
      <c r="X127" s="130">
        <f t="shared" si="305"/>
        <v>0</v>
      </c>
      <c r="Y127" s="129"/>
      <c r="Z127" s="103">
        <f t="shared" si="342"/>
        <v>0</v>
      </c>
      <c r="AA127" s="103">
        <f t="shared" si="329"/>
        <v>0</v>
      </c>
      <c r="AB127" s="103">
        <f t="shared" si="330"/>
        <v>0</v>
      </c>
      <c r="AC127" s="77"/>
      <c r="AD127" s="103">
        <f t="shared" si="343"/>
        <v>0</v>
      </c>
      <c r="AE127" s="103">
        <f t="shared" si="331"/>
        <v>0</v>
      </c>
      <c r="AF127" s="103">
        <f t="shared" si="332"/>
        <v>0</v>
      </c>
      <c r="AG127" s="77"/>
      <c r="AH127" s="103">
        <f t="shared" si="344"/>
        <v>0</v>
      </c>
      <c r="AI127" s="103">
        <f t="shared" si="333"/>
        <v>0</v>
      </c>
      <c r="AJ127" s="103">
        <f t="shared" si="334"/>
        <v>0</v>
      </c>
      <c r="AK127" s="77"/>
      <c r="AL127" s="103">
        <f t="shared" si="345"/>
        <v>0</v>
      </c>
      <c r="AM127" s="103">
        <f t="shared" si="335"/>
        <v>0</v>
      </c>
      <c r="AN127" s="103">
        <f t="shared" si="336"/>
        <v>0</v>
      </c>
      <c r="AO127" s="165" t="s">
        <v>32</v>
      </c>
    </row>
    <row r="128" spans="1:41" s="1" customFormat="1" x14ac:dyDescent="0.25">
      <c r="A128" s="131"/>
      <c r="B128" s="134">
        <f>+'Expense Input'!B31</f>
        <v>100</v>
      </c>
      <c r="C128" s="134">
        <f>+'Expense Input'!C31</f>
        <v>4000</v>
      </c>
      <c r="D128" s="134">
        <f>+'Expense Input'!D31</f>
        <v>5100</v>
      </c>
      <c r="E128" s="134">
        <f>+'Expense Input'!E31</f>
        <v>520</v>
      </c>
      <c r="F128" s="134" t="str">
        <f>+'Expense Input'!F31</f>
        <v>Textbooks</v>
      </c>
      <c r="G128" s="103">
        <f>+'Expense Input'!Q31</f>
        <v>7000</v>
      </c>
      <c r="H128" s="103">
        <f>+'Expense Input'!R31</f>
        <v>2000</v>
      </c>
      <c r="I128" s="103">
        <f>+'Expense Input'!S31</f>
        <v>5000</v>
      </c>
      <c r="J128" s="129" t="str">
        <f t="shared" si="327"/>
        <v>*</v>
      </c>
      <c r="K128" s="129"/>
      <c r="L128" s="132">
        <f t="shared" si="194"/>
        <v>0</v>
      </c>
      <c r="M128" s="132">
        <f t="shared" si="157"/>
        <v>7000</v>
      </c>
      <c r="N128" s="130"/>
      <c r="O128" s="136"/>
      <c r="P128" s="136">
        <f t="shared" si="158"/>
        <v>0</v>
      </c>
      <c r="Q128" s="136">
        <f t="shared" si="159"/>
        <v>0</v>
      </c>
      <c r="R128" s="136">
        <f t="shared" si="160"/>
        <v>0</v>
      </c>
      <c r="S128" s="136">
        <f t="shared" si="161"/>
        <v>0</v>
      </c>
      <c r="T128" s="136">
        <f t="shared" si="162"/>
        <v>0</v>
      </c>
      <c r="U128" s="136">
        <f t="shared" si="162"/>
        <v>0</v>
      </c>
      <c r="V128" s="136">
        <f t="shared" si="163"/>
        <v>0</v>
      </c>
      <c r="W128" s="136">
        <f t="shared" si="164"/>
        <v>0</v>
      </c>
      <c r="X128" s="130">
        <f t="shared" si="305"/>
        <v>0</v>
      </c>
      <c r="Y128" s="129"/>
      <c r="Z128" s="103">
        <f t="shared" ref="Z128:Z138" si="346">AA128+AB128</f>
        <v>9324.2028985507259</v>
      </c>
      <c r="AA128" s="103">
        <f t="shared" si="329"/>
        <v>2188.3333333333335</v>
      </c>
      <c r="AB128" s="103">
        <f t="shared" si="330"/>
        <v>7135.8695652173919</v>
      </c>
      <c r="AC128" s="77"/>
      <c r="AD128" s="103">
        <f t="shared" ref="AD128:AD138" si="347">AE128+AF128</f>
        <v>9417.4449275362331</v>
      </c>
      <c r="AE128" s="103">
        <f t="shared" si="331"/>
        <v>2210.2166666666667</v>
      </c>
      <c r="AF128" s="103">
        <f t="shared" si="332"/>
        <v>7207.2282608695659</v>
      </c>
      <c r="AG128" s="77"/>
      <c r="AH128" s="103">
        <f t="shared" ref="AH128:AH138" si="348">AI128+AJ128</f>
        <v>10243.282405797101</v>
      </c>
      <c r="AI128" s="103">
        <f t="shared" si="333"/>
        <v>2404.0356666666667</v>
      </c>
      <c r="AJ128" s="103">
        <f t="shared" si="334"/>
        <v>7839.2467391304353</v>
      </c>
      <c r="AK128" s="77"/>
      <c r="AL128" s="103">
        <f t="shared" ref="AL128:AL138" si="349">AM128+AN128</f>
        <v>10345.715229855074</v>
      </c>
      <c r="AM128" s="103">
        <f t="shared" si="335"/>
        <v>2428.0760233333335</v>
      </c>
      <c r="AN128" s="103">
        <f t="shared" si="336"/>
        <v>7917.6392065217397</v>
      </c>
      <c r="AO128" s="165" t="s">
        <v>42</v>
      </c>
    </row>
    <row r="129" spans="1:41" s="1" customFormat="1" hidden="1" x14ac:dyDescent="0.25">
      <c r="A129" s="131"/>
      <c r="B129" s="134">
        <f>+'Expense Input'!B32</f>
        <v>495</v>
      </c>
      <c r="C129" s="134">
        <f>+'Expense Input'!C32</f>
        <v>4000</v>
      </c>
      <c r="D129" s="134">
        <f>+'Expense Input'!D32</f>
        <v>5100</v>
      </c>
      <c r="E129" s="134">
        <f>+'Expense Input'!E32</f>
        <v>529</v>
      </c>
      <c r="F129" s="134" t="str">
        <f>+'Expense Input'!F32</f>
        <v xml:space="preserve">Electronic Textbooks </v>
      </c>
      <c r="G129" s="103">
        <f>+'Expense Input'!Q32</f>
        <v>0</v>
      </c>
      <c r="H129" s="103">
        <f>+'Expense Input'!R32</f>
        <v>0</v>
      </c>
      <c r="I129" s="103">
        <f>+'Expense Input'!S32</f>
        <v>0</v>
      </c>
      <c r="J129" s="129" t="str">
        <f t="shared" si="327"/>
        <v/>
      </c>
      <c r="K129" s="129"/>
      <c r="L129" s="132">
        <f t="shared" si="194"/>
        <v>0</v>
      </c>
      <c r="M129" s="132">
        <f t="shared" si="157"/>
        <v>0</v>
      </c>
      <c r="N129" s="130"/>
      <c r="O129" s="136"/>
      <c r="P129" s="136">
        <f t="shared" si="158"/>
        <v>0</v>
      </c>
      <c r="Q129" s="136">
        <f t="shared" si="159"/>
        <v>0</v>
      </c>
      <c r="R129" s="136">
        <f t="shared" si="160"/>
        <v>0</v>
      </c>
      <c r="S129" s="136">
        <f t="shared" si="161"/>
        <v>0</v>
      </c>
      <c r="T129" s="136">
        <f t="shared" si="162"/>
        <v>0</v>
      </c>
      <c r="U129" s="136">
        <f t="shared" si="162"/>
        <v>0</v>
      </c>
      <c r="V129" s="136">
        <f t="shared" si="163"/>
        <v>0</v>
      </c>
      <c r="W129" s="136">
        <f t="shared" si="164"/>
        <v>0</v>
      </c>
      <c r="X129" s="130">
        <f t="shared" si="305"/>
        <v>0</v>
      </c>
      <c r="Y129" s="129"/>
      <c r="Z129" s="103">
        <f t="shared" si="346"/>
        <v>0</v>
      </c>
      <c r="AA129" s="103">
        <f t="shared" si="329"/>
        <v>0</v>
      </c>
      <c r="AB129" s="103">
        <f t="shared" si="330"/>
        <v>0</v>
      </c>
      <c r="AC129" s="77"/>
      <c r="AD129" s="103">
        <f t="shared" si="347"/>
        <v>0</v>
      </c>
      <c r="AE129" s="103">
        <f t="shared" si="331"/>
        <v>0</v>
      </c>
      <c r="AF129" s="103">
        <f t="shared" si="332"/>
        <v>0</v>
      </c>
      <c r="AG129" s="77"/>
      <c r="AH129" s="103">
        <f t="shared" si="348"/>
        <v>0</v>
      </c>
      <c r="AI129" s="103">
        <f t="shared" si="333"/>
        <v>0</v>
      </c>
      <c r="AJ129" s="103">
        <f t="shared" si="334"/>
        <v>0</v>
      </c>
      <c r="AK129" s="77"/>
      <c r="AL129" s="103">
        <f t="shared" si="349"/>
        <v>0</v>
      </c>
      <c r="AM129" s="103">
        <f t="shared" si="335"/>
        <v>0</v>
      </c>
      <c r="AN129" s="103">
        <f t="shared" si="336"/>
        <v>0</v>
      </c>
      <c r="AO129" s="165" t="s">
        <v>42</v>
      </c>
    </row>
    <row r="130" spans="1:41" s="1" customFormat="1" hidden="1" x14ac:dyDescent="0.25">
      <c r="A130" s="131"/>
      <c r="B130" s="134">
        <f>+'Expense Input'!B33</f>
        <v>100</v>
      </c>
      <c r="C130" s="134">
        <f>+'Expense Input'!C33</f>
        <v>4000</v>
      </c>
      <c r="D130" s="134">
        <f>+'Expense Input'!D33</f>
        <v>5100</v>
      </c>
      <c r="E130" s="134">
        <f>+'Expense Input'!E33</f>
        <v>610</v>
      </c>
      <c r="F130" s="134" t="str">
        <f>+'Expense Input'!F33</f>
        <v>Library Books</v>
      </c>
      <c r="G130" s="103">
        <f>+'Expense Input'!Q33</f>
        <v>0</v>
      </c>
      <c r="H130" s="103">
        <f>+'Expense Input'!R33</f>
        <v>0</v>
      </c>
      <c r="I130" s="103">
        <f>+'Expense Input'!S33</f>
        <v>0</v>
      </c>
      <c r="J130" s="129" t="str">
        <f t="shared" si="327"/>
        <v/>
      </c>
      <c r="K130" s="129"/>
      <c r="L130" s="132">
        <f t="shared" si="194"/>
        <v>0</v>
      </c>
      <c r="M130" s="132">
        <f t="shared" si="157"/>
        <v>0</v>
      </c>
      <c r="N130" s="130"/>
      <c r="O130" s="136"/>
      <c r="P130" s="136">
        <f t="shared" si="158"/>
        <v>0</v>
      </c>
      <c r="Q130" s="136">
        <f t="shared" si="159"/>
        <v>0</v>
      </c>
      <c r="R130" s="136">
        <f t="shared" si="160"/>
        <v>0</v>
      </c>
      <c r="S130" s="136">
        <f t="shared" si="161"/>
        <v>0</v>
      </c>
      <c r="T130" s="136">
        <f t="shared" si="162"/>
        <v>0</v>
      </c>
      <c r="U130" s="136">
        <f t="shared" si="162"/>
        <v>0</v>
      </c>
      <c r="V130" s="136">
        <f t="shared" si="163"/>
        <v>0</v>
      </c>
      <c r="W130" s="136">
        <f t="shared" si="164"/>
        <v>0</v>
      </c>
      <c r="X130" s="130">
        <f t="shared" si="305"/>
        <v>0</v>
      </c>
      <c r="Y130" s="129"/>
      <c r="Z130" s="103">
        <f t="shared" si="346"/>
        <v>0</v>
      </c>
      <c r="AA130" s="103">
        <f t="shared" si="329"/>
        <v>0</v>
      </c>
      <c r="AB130" s="103">
        <f t="shared" si="330"/>
        <v>0</v>
      </c>
      <c r="AC130" s="77"/>
      <c r="AD130" s="103">
        <f t="shared" si="347"/>
        <v>0</v>
      </c>
      <c r="AE130" s="103">
        <f t="shared" si="331"/>
        <v>0</v>
      </c>
      <c r="AF130" s="103">
        <f t="shared" si="332"/>
        <v>0</v>
      </c>
      <c r="AG130" s="77"/>
      <c r="AH130" s="103">
        <f t="shared" si="348"/>
        <v>0</v>
      </c>
      <c r="AI130" s="103">
        <f t="shared" si="333"/>
        <v>0</v>
      </c>
      <c r="AJ130" s="103">
        <f t="shared" si="334"/>
        <v>0</v>
      </c>
      <c r="AK130" s="77"/>
      <c r="AL130" s="103">
        <f t="shared" si="349"/>
        <v>0</v>
      </c>
      <c r="AM130" s="103">
        <f t="shared" si="335"/>
        <v>0</v>
      </c>
      <c r="AN130" s="103">
        <f t="shared" si="336"/>
        <v>0</v>
      </c>
      <c r="AO130" s="165" t="s">
        <v>32</v>
      </c>
    </row>
    <row r="131" spans="1:41" s="1" customFormat="1" x14ac:dyDescent="0.25">
      <c r="A131" s="131"/>
      <c r="B131" s="134">
        <f>+'Expense Input'!B34</f>
        <v>100</v>
      </c>
      <c r="C131" s="134">
        <f>+'Expense Input'!C34</f>
        <v>4000</v>
      </c>
      <c r="D131" s="134">
        <f>+'Expense Input'!D34</f>
        <v>5100</v>
      </c>
      <c r="E131" s="134">
        <f>+'Expense Input'!E34</f>
        <v>641</v>
      </c>
      <c r="F131" s="134" t="str">
        <f>+'Expense Input'!F34</f>
        <v>Capitalized Furniture, Fixtures and Equipment</v>
      </c>
      <c r="G131" s="103">
        <f>+'Expense Input'!Q34</f>
        <v>10000</v>
      </c>
      <c r="H131" s="103">
        <f>+'Expense Input'!R34</f>
        <v>5000</v>
      </c>
      <c r="I131" s="103">
        <f>+'Expense Input'!S34</f>
        <v>5000</v>
      </c>
      <c r="J131" s="129" t="str">
        <f t="shared" si="327"/>
        <v>*</v>
      </c>
      <c r="K131" s="129"/>
      <c r="L131" s="132">
        <f t="shared" si="194"/>
        <v>0</v>
      </c>
      <c r="M131" s="132">
        <f t="shared" si="157"/>
        <v>10000</v>
      </c>
      <c r="N131" s="130"/>
      <c r="O131" s="136"/>
      <c r="P131" s="136">
        <f t="shared" si="158"/>
        <v>0</v>
      </c>
      <c r="Q131" s="136">
        <f t="shared" si="159"/>
        <v>0</v>
      </c>
      <c r="R131" s="136">
        <f t="shared" si="160"/>
        <v>0</v>
      </c>
      <c r="S131" s="136">
        <f t="shared" si="161"/>
        <v>0</v>
      </c>
      <c r="T131" s="136">
        <f t="shared" si="162"/>
        <v>0</v>
      </c>
      <c r="U131" s="136">
        <f t="shared" si="162"/>
        <v>0</v>
      </c>
      <c r="V131" s="136">
        <f t="shared" si="163"/>
        <v>0</v>
      </c>
      <c r="W131" s="136">
        <f t="shared" si="164"/>
        <v>0</v>
      </c>
      <c r="X131" s="130">
        <f t="shared" si="305"/>
        <v>0</v>
      </c>
      <c r="Y131" s="129"/>
      <c r="Z131" s="103">
        <f t="shared" si="346"/>
        <v>12606.702898550726</v>
      </c>
      <c r="AA131" s="103">
        <f t="shared" si="329"/>
        <v>5470.8333333333339</v>
      </c>
      <c r="AB131" s="103">
        <f t="shared" si="330"/>
        <v>7135.8695652173919</v>
      </c>
      <c r="AC131" s="77"/>
      <c r="AD131" s="103">
        <f t="shared" si="347"/>
        <v>12732.769927536232</v>
      </c>
      <c r="AE131" s="103">
        <f t="shared" si="331"/>
        <v>5525.541666666667</v>
      </c>
      <c r="AF131" s="103">
        <f t="shared" si="332"/>
        <v>7207.2282608695659</v>
      </c>
      <c r="AG131" s="77"/>
      <c r="AH131" s="103">
        <f t="shared" si="348"/>
        <v>13849.335905797103</v>
      </c>
      <c r="AI131" s="103">
        <f t="shared" si="333"/>
        <v>6010.0891666666676</v>
      </c>
      <c r="AJ131" s="103">
        <f t="shared" si="334"/>
        <v>7839.2467391304353</v>
      </c>
      <c r="AK131" s="77"/>
      <c r="AL131" s="103">
        <f t="shared" si="349"/>
        <v>13987.829264855074</v>
      </c>
      <c r="AM131" s="103">
        <f t="shared" si="335"/>
        <v>6070.1900583333354</v>
      </c>
      <c r="AN131" s="103">
        <f t="shared" si="336"/>
        <v>7917.6392065217397</v>
      </c>
      <c r="AO131" s="165" t="s">
        <v>42</v>
      </c>
    </row>
    <row r="132" spans="1:41" s="1" customFormat="1" ht="13.2" hidden="1" customHeight="1" x14ac:dyDescent="0.25">
      <c r="A132" s="131"/>
      <c r="B132" s="134">
        <f>+'Expense Input'!B35</f>
        <v>435</v>
      </c>
      <c r="C132" s="134">
        <f>+'Expense Input'!C35</f>
        <v>4000</v>
      </c>
      <c r="D132" s="134">
        <f>+'Expense Input'!D35</f>
        <v>5101</v>
      </c>
      <c r="E132" s="134">
        <f>+'Expense Input'!E35</f>
        <v>641</v>
      </c>
      <c r="F132" s="134" t="str">
        <f>+'Expense Input'!F35</f>
        <v>Capitalized Furniture, Fixtures and Equipment</v>
      </c>
      <c r="G132" s="103">
        <f>+'Expense Input'!Q35</f>
        <v>0</v>
      </c>
      <c r="H132" s="103">
        <f>+'Expense Input'!R35</f>
        <v>0</v>
      </c>
      <c r="I132" s="103">
        <f>+'Expense Input'!S35</f>
        <v>0</v>
      </c>
      <c r="J132" s="129" t="str">
        <f t="shared" si="327"/>
        <v/>
      </c>
      <c r="K132" s="129"/>
      <c r="L132" s="132">
        <f t="shared" si="194"/>
        <v>0</v>
      </c>
      <c r="M132" s="132">
        <f t="shared" si="157"/>
        <v>0</v>
      </c>
      <c r="N132" s="130"/>
      <c r="O132" s="136"/>
      <c r="P132" s="136">
        <f t="shared" si="158"/>
        <v>0</v>
      </c>
      <c r="Q132" s="136">
        <f t="shared" si="159"/>
        <v>0</v>
      </c>
      <c r="R132" s="136">
        <f t="shared" si="160"/>
        <v>0</v>
      </c>
      <c r="S132" s="136">
        <f t="shared" si="161"/>
        <v>0</v>
      </c>
      <c r="T132" s="136">
        <f t="shared" si="162"/>
        <v>0</v>
      </c>
      <c r="U132" s="136">
        <f t="shared" si="162"/>
        <v>0</v>
      </c>
      <c r="V132" s="136">
        <f t="shared" si="163"/>
        <v>0</v>
      </c>
      <c r="W132" s="136">
        <f t="shared" si="164"/>
        <v>0</v>
      </c>
      <c r="X132" s="130">
        <f t="shared" si="305"/>
        <v>0</v>
      </c>
      <c r="Y132" s="129"/>
      <c r="Z132" s="103">
        <f t="shared" si="346"/>
        <v>0</v>
      </c>
      <c r="AA132" s="103">
        <f t="shared" si="329"/>
        <v>0</v>
      </c>
      <c r="AB132" s="103">
        <f t="shared" si="330"/>
        <v>0</v>
      </c>
      <c r="AC132" s="77"/>
      <c r="AD132" s="103">
        <f t="shared" si="347"/>
        <v>0</v>
      </c>
      <c r="AE132" s="103">
        <f t="shared" si="331"/>
        <v>0</v>
      </c>
      <c r="AF132" s="103">
        <f t="shared" si="332"/>
        <v>0</v>
      </c>
      <c r="AG132" s="77"/>
      <c r="AH132" s="103">
        <f t="shared" si="348"/>
        <v>0</v>
      </c>
      <c r="AI132" s="103">
        <f t="shared" si="333"/>
        <v>0</v>
      </c>
      <c r="AJ132" s="103">
        <f t="shared" si="334"/>
        <v>0</v>
      </c>
      <c r="AK132" s="77"/>
      <c r="AL132" s="103">
        <f t="shared" si="349"/>
        <v>0</v>
      </c>
      <c r="AM132" s="103">
        <f t="shared" si="335"/>
        <v>0</v>
      </c>
      <c r="AN132" s="103">
        <f t="shared" si="336"/>
        <v>0</v>
      </c>
      <c r="AO132" s="165" t="s">
        <v>32</v>
      </c>
    </row>
    <row r="133" spans="1:41" s="1" customFormat="1" ht="13.2" customHeight="1" x14ac:dyDescent="0.25">
      <c r="A133" s="131"/>
      <c r="B133" s="134">
        <f>+'Expense Input'!B36</f>
        <v>100</v>
      </c>
      <c r="C133" s="134">
        <f>+'Expense Input'!C36</f>
        <v>4000</v>
      </c>
      <c r="D133" s="134">
        <f>+'Expense Input'!D36</f>
        <v>5100</v>
      </c>
      <c r="E133" s="134">
        <f>+'Expense Input'!E36</f>
        <v>642</v>
      </c>
      <c r="F133" s="134" t="str">
        <f>+'Expense Input'!F36</f>
        <v>Non Capital Furniture &amp; Equipment</v>
      </c>
      <c r="G133" s="103">
        <f>+'Expense Input'!Q36</f>
        <v>10000</v>
      </c>
      <c r="H133" s="103">
        <f>+'Expense Input'!R36</f>
        <v>5000</v>
      </c>
      <c r="I133" s="103">
        <f>+'Expense Input'!S36</f>
        <v>5000</v>
      </c>
      <c r="J133" s="129" t="str">
        <f t="shared" si="327"/>
        <v>*</v>
      </c>
      <c r="K133" s="129"/>
      <c r="L133" s="132">
        <f t="shared" si="194"/>
        <v>0</v>
      </c>
      <c r="M133" s="132">
        <f t="shared" si="157"/>
        <v>10000</v>
      </c>
      <c r="N133" s="130"/>
      <c r="O133" s="136"/>
      <c r="P133" s="136">
        <f t="shared" si="158"/>
        <v>0</v>
      </c>
      <c r="Q133" s="136">
        <f t="shared" si="159"/>
        <v>0</v>
      </c>
      <c r="R133" s="136">
        <f t="shared" si="160"/>
        <v>0</v>
      </c>
      <c r="S133" s="136">
        <f t="shared" si="161"/>
        <v>0</v>
      </c>
      <c r="T133" s="136">
        <f t="shared" si="162"/>
        <v>0</v>
      </c>
      <c r="U133" s="136">
        <f t="shared" si="162"/>
        <v>0</v>
      </c>
      <c r="V133" s="136">
        <f t="shared" si="163"/>
        <v>0</v>
      </c>
      <c r="W133" s="136">
        <f t="shared" si="164"/>
        <v>0</v>
      </c>
      <c r="X133" s="130">
        <f t="shared" si="305"/>
        <v>0</v>
      </c>
      <c r="Y133" s="129"/>
      <c r="Z133" s="103">
        <f t="shared" si="346"/>
        <v>12606.702898550726</v>
      </c>
      <c r="AA133" s="103">
        <f t="shared" si="329"/>
        <v>5470.8333333333339</v>
      </c>
      <c r="AB133" s="103">
        <f t="shared" si="330"/>
        <v>7135.8695652173919</v>
      </c>
      <c r="AC133" s="77"/>
      <c r="AD133" s="103">
        <f t="shared" si="347"/>
        <v>12732.769927536232</v>
      </c>
      <c r="AE133" s="103">
        <f t="shared" si="331"/>
        <v>5525.541666666667</v>
      </c>
      <c r="AF133" s="103">
        <f t="shared" si="332"/>
        <v>7207.2282608695659</v>
      </c>
      <c r="AG133" s="77"/>
      <c r="AH133" s="103">
        <f t="shared" si="348"/>
        <v>13849.335905797103</v>
      </c>
      <c r="AI133" s="103">
        <f t="shared" si="333"/>
        <v>6010.0891666666676</v>
      </c>
      <c r="AJ133" s="103">
        <f t="shared" si="334"/>
        <v>7839.2467391304353</v>
      </c>
      <c r="AK133" s="77"/>
      <c r="AL133" s="103">
        <f t="shared" si="349"/>
        <v>13987.829264855074</v>
      </c>
      <c r="AM133" s="103">
        <f t="shared" si="335"/>
        <v>6070.1900583333354</v>
      </c>
      <c r="AN133" s="103">
        <f t="shared" si="336"/>
        <v>7917.6392065217397</v>
      </c>
      <c r="AO133" s="165" t="s">
        <v>42</v>
      </c>
    </row>
    <row r="134" spans="1:41" s="129" customFormat="1" ht="13.2" hidden="1" customHeight="1" x14ac:dyDescent="0.25">
      <c r="A134" s="131"/>
      <c r="B134" s="134">
        <f>+'Expense Input'!B37</f>
        <v>100</v>
      </c>
      <c r="C134" s="134">
        <f>+'Expense Input'!C37</f>
        <v>4000</v>
      </c>
      <c r="D134" s="134">
        <f>+'Expense Input'!D37</f>
        <v>5100</v>
      </c>
      <c r="E134" s="134">
        <f>+'Expense Input'!E37</f>
        <v>643</v>
      </c>
      <c r="F134" s="134" t="str">
        <f>+'Expense Input'!F37</f>
        <v>Computer Equipment</v>
      </c>
      <c r="G134" s="103">
        <f>+'Expense Input'!Q37</f>
        <v>0</v>
      </c>
      <c r="H134" s="103">
        <f>+'Expense Input'!R37</f>
        <v>0</v>
      </c>
      <c r="I134" s="103">
        <f>+'Expense Input'!S37</f>
        <v>0</v>
      </c>
      <c r="J134" s="129" t="str">
        <f t="shared" ref="J134" si="350">IF(G134&gt;0.49,"*","")</f>
        <v/>
      </c>
      <c r="L134" s="132">
        <f t="shared" ref="L134" si="351">IF(E134&lt;300,G134,0)</f>
        <v>0</v>
      </c>
      <c r="M134" s="132">
        <f t="shared" ref="M134" si="352">IF(E134&gt;299,G134,0)</f>
        <v>0</v>
      </c>
      <c r="N134" s="130"/>
      <c r="O134" s="136"/>
      <c r="P134" s="136">
        <f t="shared" ref="P134" si="353">IF(B134=490,G134,0)</f>
        <v>0</v>
      </c>
      <c r="Q134" s="136">
        <f t="shared" ref="Q134" si="354">IF(B134=410,H134,0)</f>
        <v>0</v>
      </c>
      <c r="R134" s="136">
        <f t="shared" ref="R134" si="355">IF(B134=432,H134,0)</f>
        <v>0</v>
      </c>
      <c r="S134" s="136">
        <f t="shared" ref="S134" si="356">IF(B134=432,I134,0)</f>
        <v>0</v>
      </c>
      <c r="T134" s="136">
        <f t="shared" ref="T134" si="357">IF($B134=435,H134,0)</f>
        <v>0</v>
      </c>
      <c r="U134" s="136">
        <f t="shared" ref="U134" si="358">IF($B134=435,I134,0)</f>
        <v>0</v>
      </c>
      <c r="V134" s="136">
        <f t="shared" ref="V134" si="359">IF(B134=360,I134,0)</f>
        <v>0</v>
      </c>
      <c r="W134" s="136">
        <f t="shared" ref="W134" si="360">IF(B134=410,I134,0)</f>
        <v>0</v>
      </c>
      <c r="X134" s="130">
        <f t="shared" ref="X134" si="361">+W134+Q134-O134</f>
        <v>0</v>
      </c>
      <c r="Z134" s="103">
        <f t="shared" ref="Z134" si="362">AA134+AB134</f>
        <v>0</v>
      </c>
      <c r="AA134" s="103">
        <f t="shared" ref="AA134" si="363">+H134/H$11*AA$11*Inf</f>
        <v>0</v>
      </c>
      <c r="AB134" s="103">
        <f t="shared" ref="AB134" si="364">+I134/I$11*AB$11*Inf</f>
        <v>0</v>
      </c>
      <c r="AC134" s="77"/>
      <c r="AD134" s="103">
        <f t="shared" ref="AD134" si="365">AE134+AF134</f>
        <v>0</v>
      </c>
      <c r="AE134" s="103">
        <f t="shared" ref="AE134" si="366">+AA134/AA$11*AE$11*Inf</f>
        <v>0</v>
      </c>
      <c r="AF134" s="103">
        <f t="shared" ref="AF134" si="367">+AB134/AB$11*AF$11*Inf</f>
        <v>0</v>
      </c>
      <c r="AG134" s="77"/>
      <c r="AH134" s="103">
        <f t="shared" ref="AH134" si="368">AI134+AJ134</f>
        <v>0</v>
      </c>
      <c r="AI134" s="103">
        <f t="shared" ref="AI134" si="369">+AE134/AE$11*AI$11*Inf</f>
        <v>0</v>
      </c>
      <c r="AJ134" s="103">
        <f t="shared" ref="AJ134" si="370">+AF134/AF$11*AJ$11*Inf</f>
        <v>0</v>
      </c>
      <c r="AK134" s="77"/>
      <c r="AL134" s="103">
        <f t="shared" ref="AL134" si="371">AM134+AN134</f>
        <v>0</v>
      </c>
      <c r="AM134" s="103">
        <f t="shared" ref="AM134" si="372">+AI134/AI$11*AM$11*Inf</f>
        <v>0</v>
      </c>
      <c r="AN134" s="103">
        <f t="shared" ref="AN134" si="373">+AJ134/AJ$11*AN$11*Inf</f>
        <v>0</v>
      </c>
      <c r="AO134" s="165" t="s">
        <v>42</v>
      </c>
    </row>
    <row r="135" spans="1:41" s="1" customFormat="1" ht="13.2" hidden="1" customHeight="1" x14ac:dyDescent="0.25">
      <c r="A135" s="131"/>
      <c r="B135" s="134">
        <f>+'Expense Input'!B38</f>
        <v>435</v>
      </c>
      <c r="C135" s="134">
        <f>+'Expense Input'!C38</f>
        <v>4000</v>
      </c>
      <c r="D135" s="134">
        <f>+'Expense Input'!D38</f>
        <v>5101</v>
      </c>
      <c r="E135" s="134">
        <f>+'Expense Input'!E38</f>
        <v>643</v>
      </c>
      <c r="F135" s="134" t="str">
        <f>+'Expense Input'!F38</f>
        <v>Computer Equipment</v>
      </c>
      <c r="G135" s="103">
        <f>+'Expense Input'!Q38</f>
        <v>0</v>
      </c>
      <c r="H135" s="103">
        <f>+'Expense Input'!R38</f>
        <v>0</v>
      </c>
      <c r="I135" s="103">
        <f>+'Expense Input'!S38</f>
        <v>0</v>
      </c>
      <c r="J135" s="129" t="str">
        <f t="shared" si="156"/>
        <v/>
      </c>
      <c r="K135" s="129"/>
      <c r="L135" s="132">
        <f t="shared" si="194"/>
        <v>0</v>
      </c>
      <c r="M135" s="132">
        <f t="shared" si="157"/>
        <v>0</v>
      </c>
      <c r="N135" s="130"/>
      <c r="O135" s="136"/>
      <c r="P135" s="136">
        <f t="shared" si="158"/>
        <v>0</v>
      </c>
      <c r="Q135" s="136">
        <f t="shared" si="159"/>
        <v>0</v>
      </c>
      <c r="R135" s="136">
        <f t="shared" si="160"/>
        <v>0</v>
      </c>
      <c r="S135" s="136">
        <f t="shared" si="161"/>
        <v>0</v>
      </c>
      <c r="T135" s="136">
        <f t="shared" si="162"/>
        <v>0</v>
      </c>
      <c r="U135" s="136">
        <f t="shared" si="162"/>
        <v>0</v>
      </c>
      <c r="V135" s="136">
        <f t="shared" si="163"/>
        <v>0</v>
      </c>
      <c r="W135" s="136">
        <f t="shared" si="164"/>
        <v>0</v>
      </c>
      <c r="X135" s="130">
        <f t="shared" si="305"/>
        <v>0</v>
      </c>
      <c r="Y135" s="129"/>
      <c r="Z135" s="103">
        <f t="shared" si="346"/>
        <v>0</v>
      </c>
      <c r="AA135" s="103">
        <f t="shared" si="329"/>
        <v>0</v>
      </c>
      <c r="AB135" s="103">
        <f t="shared" si="330"/>
        <v>0</v>
      </c>
      <c r="AC135" s="77"/>
      <c r="AD135" s="103">
        <f t="shared" si="347"/>
        <v>0</v>
      </c>
      <c r="AE135" s="103">
        <f t="shared" si="331"/>
        <v>0</v>
      </c>
      <c r="AF135" s="103">
        <f t="shared" si="332"/>
        <v>0</v>
      </c>
      <c r="AG135" s="77"/>
      <c r="AH135" s="103">
        <f t="shared" si="348"/>
        <v>0</v>
      </c>
      <c r="AI135" s="103">
        <f t="shared" si="333"/>
        <v>0</v>
      </c>
      <c r="AJ135" s="103">
        <f t="shared" si="334"/>
        <v>0</v>
      </c>
      <c r="AK135" s="77"/>
      <c r="AL135" s="103">
        <f t="shared" si="349"/>
        <v>0</v>
      </c>
      <c r="AM135" s="103">
        <f t="shared" si="335"/>
        <v>0</v>
      </c>
      <c r="AN135" s="103">
        <f t="shared" si="336"/>
        <v>0</v>
      </c>
      <c r="AO135" s="165" t="s">
        <v>42</v>
      </c>
    </row>
    <row r="136" spans="1:41" s="129" customFormat="1" ht="13.2" customHeight="1" x14ac:dyDescent="0.25">
      <c r="A136" s="131"/>
      <c r="B136" s="134">
        <f>+'Expense Input'!B39</f>
        <v>100</v>
      </c>
      <c r="C136" s="134">
        <f>+'Expense Input'!C39</f>
        <v>4000</v>
      </c>
      <c r="D136" s="134">
        <f>+'Expense Input'!D39</f>
        <v>5100</v>
      </c>
      <c r="E136" s="134">
        <f>+'Expense Input'!E39</f>
        <v>644</v>
      </c>
      <c r="F136" s="134" t="str">
        <f>+'Expense Input'!F39</f>
        <v>Noncapitalized Computer Hardware</v>
      </c>
      <c r="G136" s="103">
        <f>+'Expense Input'!Q39</f>
        <v>5000</v>
      </c>
      <c r="H136" s="103">
        <f>+'Expense Input'!R39</f>
        <v>2500</v>
      </c>
      <c r="I136" s="103">
        <f>+'Expense Input'!S39</f>
        <v>2500</v>
      </c>
      <c r="J136" s="129" t="str">
        <f t="shared" ref="J136:J137" si="374">IF(G136&gt;0.49,"*","")</f>
        <v>*</v>
      </c>
      <c r="L136" s="132">
        <f t="shared" ref="L136:L137" si="375">IF(E136&lt;300,G136,0)</f>
        <v>0</v>
      </c>
      <c r="M136" s="132">
        <f t="shared" ref="M136:M137" si="376">IF(E136&gt;299,G136,0)</f>
        <v>5000</v>
      </c>
      <c r="N136" s="130"/>
      <c r="O136" s="136"/>
      <c r="P136" s="136">
        <f t="shared" ref="P136:P137" si="377">IF(B136=490,G136,0)</f>
        <v>0</v>
      </c>
      <c r="Q136" s="136">
        <f t="shared" ref="Q136:Q137" si="378">IF(B136=410,H136,0)</f>
        <v>0</v>
      </c>
      <c r="R136" s="136">
        <f t="shared" si="160"/>
        <v>0</v>
      </c>
      <c r="S136" s="136">
        <f t="shared" si="161"/>
        <v>0</v>
      </c>
      <c r="T136" s="136">
        <f t="shared" si="162"/>
        <v>0</v>
      </c>
      <c r="U136" s="136">
        <f t="shared" si="162"/>
        <v>0</v>
      </c>
      <c r="V136" s="136">
        <f t="shared" si="163"/>
        <v>0</v>
      </c>
      <c r="W136" s="136">
        <f t="shared" ref="W136:W137" si="379">IF(B136=410,I136,0)</f>
        <v>0</v>
      </c>
      <c r="X136" s="130">
        <f t="shared" ref="X136:X137" si="380">+W136+Q136-O136</f>
        <v>0</v>
      </c>
      <c r="Z136" s="103">
        <f t="shared" si="346"/>
        <v>6303.3514492753629</v>
      </c>
      <c r="AA136" s="103">
        <f t="shared" si="329"/>
        <v>2735.416666666667</v>
      </c>
      <c r="AB136" s="103">
        <f t="shared" si="330"/>
        <v>3567.934782608696</v>
      </c>
      <c r="AC136" s="77"/>
      <c r="AD136" s="103">
        <f t="shared" si="347"/>
        <v>6366.384963768116</v>
      </c>
      <c r="AE136" s="103">
        <f t="shared" si="331"/>
        <v>2762.7708333333335</v>
      </c>
      <c r="AF136" s="103">
        <f t="shared" si="332"/>
        <v>3603.614130434783</v>
      </c>
      <c r="AG136" s="77"/>
      <c r="AH136" s="103">
        <f t="shared" si="348"/>
        <v>6924.6679528985514</v>
      </c>
      <c r="AI136" s="103">
        <f t="shared" si="333"/>
        <v>3005.0445833333338</v>
      </c>
      <c r="AJ136" s="103">
        <f t="shared" si="334"/>
        <v>3919.6233695652177</v>
      </c>
      <c r="AK136" s="77"/>
      <c r="AL136" s="103">
        <f t="shared" si="349"/>
        <v>6993.9146324275371</v>
      </c>
      <c r="AM136" s="103">
        <f t="shared" si="335"/>
        <v>3035.0950291666677</v>
      </c>
      <c r="AN136" s="103">
        <f t="shared" si="336"/>
        <v>3958.8196032608698</v>
      </c>
      <c r="AO136" s="165" t="s">
        <v>42</v>
      </c>
    </row>
    <row r="137" spans="1:41" s="129" customFormat="1" ht="13.2" hidden="1" customHeight="1" x14ac:dyDescent="0.25">
      <c r="A137" s="131"/>
      <c r="B137" s="134">
        <f>+'Expense Input'!B40</f>
        <v>435</v>
      </c>
      <c r="C137" s="134">
        <f>+'Expense Input'!C40</f>
        <v>4000</v>
      </c>
      <c r="D137" s="134">
        <f>+'Expense Input'!D40</f>
        <v>5101</v>
      </c>
      <c r="E137" s="134">
        <f>+'Expense Input'!E40</f>
        <v>644</v>
      </c>
      <c r="F137" s="134" t="str">
        <f>+'Expense Input'!F40</f>
        <v>Noncapitalized Computer Hardware</v>
      </c>
      <c r="G137" s="103">
        <f>+'Expense Input'!Q40</f>
        <v>0</v>
      </c>
      <c r="H137" s="103">
        <f>+'Expense Input'!R40</f>
        <v>0</v>
      </c>
      <c r="I137" s="103">
        <f>+'Expense Input'!S40</f>
        <v>0</v>
      </c>
      <c r="J137" s="129" t="str">
        <f t="shared" si="374"/>
        <v/>
      </c>
      <c r="L137" s="132">
        <f t="shared" si="375"/>
        <v>0</v>
      </c>
      <c r="M137" s="132">
        <f t="shared" si="376"/>
        <v>0</v>
      </c>
      <c r="N137" s="130"/>
      <c r="O137" s="136"/>
      <c r="P137" s="136">
        <f t="shared" si="377"/>
        <v>0</v>
      </c>
      <c r="Q137" s="136">
        <f t="shared" si="378"/>
        <v>0</v>
      </c>
      <c r="R137" s="136">
        <f t="shared" si="160"/>
        <v>0</v>
      </c>
      <c r="S137" s="136">
        <f t="shared" si="161"/>
        <v>0</v>
      </c>
      <c r="T137" s="136">
        <f t="shared" si="162"/>
        <v>0</v>
      </c>
      <c r="U137" s="136">
        <f t="shared" si="162"/>
        <v>0</v>
      </c>
      <c r="V137" s="136">
        <f t="shared" si="163"/>
        <v>0</v>
      </c>
      <c r="W137" s="136">
        <f t="shared" si="379"/>
        <v>0</v>
      </c>
      <c r="X137" s="130">
        <f t="shared" si="380"/>
        <v>0</v>
      </c>
      <c r="Z137" s="103">
        <f t="shared" si="346"/>
        <v>0</v>
      </c>
      <c r="AA137" s="103">
        <f t="shared" si="329"/>
        <v>0</v>
      </c>
      <c r="AB137" s="103">
        <f t="shared" si="330"/>
        <v>0</v>
      </c>
      <c r="AC137" s="77"/>
      <c r="AD137" s="103">
        <f t="shared" si="347"/>
        <v>0</v>
      </c>
      <c r="AE137" s="103">
        <f t="shared" si="331"/>
        <v>0</v>
      </c>
      <c r="AF137" s="103">
        <f t="shared" si="332"/>
        <v>0</v>
      </c>
      <c r="AG137" s="77"/>
      <c r="AH137" s="103">
        <f t="shared" si="348"/>
        <v>0</v>
      </c>
      <c r="AI137" s="103">
        <f t="shared" si="333"/>
        <v>0</v>
      </c>
      <c r="AJ137" s="103">
        <f t="shared" si="334"/>
        <v>0</v>
      </c>
      <c r="AK137" s="77"/>
      <c r="AL137" s="103">
        <f t="shared" si="349"/>
        <v>0</v>
      </c>
      <c r="AM137" s="103">
        <f t="shared" si="335"/>
        <v>0</v>
      </c>
      <c r="AN137" s="103">
        <f t="shared" si="336"/>
        <v>0</v>
      </c>
      <c r="AO137" s="165" t="s">
        <v>42</v>
      </c>
    </row>
    <row r="138" spans="1:41" s="129" customFormat="1" ht="13.2" hidden="1" customHeight="1" x14ac:dyDescent="0.25">
      <c r="A138" s="131"/>
      <c r="B138" s="134">
        <f>+'Expense Input'!B41</f>
        <v>100</v>
      </c>
      <c r="C138" s="134">
        <f>+'Expense Input'!C41</f>
        <v>4000</v>
      </c>
      <c r="D138" s="134">
        <f>+'Expense Input'!D41</f>
        <v>5100</v>
      </c>
      <c r="E138" s="134">
        <f>+'Expense Input'!E41</f>
        <v>690</v>
      </c>
      <c r="F138" s="134" t="str">
        <f>+'Expense Input'!F41</f>
        <v>Software</v>
      </c>
      <c r="G138" s="103">
        <f>+'Expense Input'!Q41</f>
        <v>0</v>
      </c>
      <c r="H138" s="103">
        <f>+'Expense Input'!R41</f>
        <v>0</v>
      </c>
      <c r="I138" s="103">
        <f>+'Expense Input'!S41</f>
        <v>0</v>
      </c>
      <c r="J138" s="129" t="str">
        <f t="shared" ref="J138:J145" si="381">IF(G138&gt;0.49,"*","")</f>
        <v/>
      </c>
      <c r="L138" s="132">
        <f t="shared" ref="L138:L145" si="382">IF(E138&lt;300,G138,0)</f>
        <v>0</v>
      </c>
      <c r="M138" s="132">
        <f t="shared" ref="M138:M145" si="383">IF(E138&gt;299,G138,0)</f>
        <v>0</v>
      </c>
      <c r="N138" s="130"/>
      <c r="O138" s="136"/>
      <c r="P138" s="136">
        <f t="shared" ref="P138:P145" si="384">IF(B138=490,G138,0)</f>
        <v>0</v>
      </c>
      <c r="Q138" s="136">
        <f t="shared" ref="Q138:Q145" si="385">IF(B138=410,H138,0)</f>
        <v>0</v>
      </c>
      <c r="R138" s="136">
        <f t="shared" si="160"/>
        <v>0</v>
      </c>
      <c r="S138" s="136">
        <f t="shared" si="161"/>
        <v>0</v>
      </c>
      <c r="T138" s="136">
        <f t="shared" si="162"/>
        <v>0</v>
      </c>
      <c r="U138" s="136">
        <f t="shared" si="162"/>
        <v>0</v>
      </c>
      <c r="V138" s="136">
        <f t="shared" si="163"/>
        <v>0</v>
      </c>
      <c r="W138" s="136">
        <f t="shared" ref="W138:W145" si="386">IF(B138=410,I138,0)</f>
        <v>0</v>
      </c>
      <c r="X138" s="130">
        <f t="shared" ref="X138:X145" si="387">+W138+Q138-O138</f>
        <v>0</v>
      </c>
      <c r="Z138" s="103">
        <f t="shared" si="346"/>
        <v>0</v>
      </c>
      <c r="AA138" s="103">
        <f t="shared" si="329"/>
        <v>0</v>
      </c>
      <c r="AB138" s="103">
        <f t="shared" si="330"/>
        <v>0</v>
      </c>
      <c r="AC138" s="77"/>
      <c r="AD138" s="103">
        <f t="shared" si="347"/>
        <v>0</v>
      </c>
      <c r="AE138" s="103">
        <f t="shared" si="331"/>
        <v>0</v>
      </c>
      <c r="AF138" s="103">
        <f t="shared" si="332"/>
        <v>0</v>
      </c>
      <c r="AG138" s="77"/>
      <c r="AH138" s="103">
        <f t="shared" si="348"/>
        <v>0</v>
      </c>
      <c r="AI138" s="103">
        <f t="shared" si="333"/>
        <v>0</v>
      </c>
      <c r="AJ138" s="103">
        <f t="shared" si="334"/>
        <v>0</v>
      </c>
      <c r="AK138" s="77"/>
      <c r="AL138" s="103">
        <f t="shared" si="349"/>
        <v>0</v>
      </c>
      <c r="AM138" s="103">
        <f t="shared" si="335"/>
        <v>0</v>
      </c>
      <c r="AN138" s="103">
        <f t="shared" si="336"/>
        <v>0</v>
      </c>
      <c r="AO138" s="165" t="s">
        <v>42</v>
      </c>
    </row>
    <row r="139" spans="1:41" s="129" customFormat="1" ht="13.2" hidden="1" customHeight="1" x14ac:dyDescent="0.25">
      <c r="A139" s="131"/>
      <c r="B139" s="134">
        <f>+'Expense Input'!B42</f>
        <v>435</v>
      </c>
      <c r="C139" s="134">
        <f>+'Expense Input'!C42</f>
        <v>4000</v>
      </c>
      <c r="D139" s="134">
        <f>+'Expense Input'!D42</f>
        <v>5100</v>
      </c>
      <c r="E139" s="134">
        <f>+'Expense Input'!E42</f>
        <v>690</v>
      </c>
      <c r="F139" s="134" t="str">
        <f>+'Expense Input'!F42</f>
        <v>Software</v>
      </c>
      <c r="G139" s="103">
        <f>+'Expense Input'!Q42</f>
        <v>0</v>
      </c>
      <c r="H139" s="103">
        <f>+'Expense Input'!R42</f>
        <v>0</v>
      </c>
      <c r="I139" s="103">
        <f>+'Expense Input'!S42</f>
        <v>0</v>
      </c>
      <c r="J139" s="129" t="str">
        <f t="shared" ref="J139" si="388">IF(G139&gt;0.49,"*","")</f>
        <v/>
      </c>
      <c r="L139" s="132">
        <f t="shared" ref="L139" si="389">IF(E139&lt;300,G139,0)</f>
        <v>0</v>
      </c>
      <c r="M139" s="132">
        <f t="shared" ref="M139" si="390">IF(E139&gt;299,G139,0)</f>
        <v>0</v>
      </c>
      <c r="N139" s="130"/>
      <c r="O139" s="136"/>
      <c r="P139" s="136">
        <f t="shared" ref="P139" si="391">IF(B139=490,G139,0)</f>
        <v>0</v>
      </c>
      <c r="Q139" s="136">
        <f t="shared" ref="Q139" si="392">IF(B139=410,H139,0)</f>
        <v>0</v>
      </c>
      <c r="R139" s="136">
        <f t="shared" ref="R139" si="393">IF(B139=432,H139,0)</f>
        <v>0</v>
      </c>
      <c r="S139" s="136">
        <f t="shared" si="161"/>
        <v>0</v>
      </c>
      <c r="T139" s="136">
        <f t="shared" si="162"/>
        <v>0</v>
      </c>
      <c r="U139" s="136">
        <f t="shared" si="162"/>
        <v>0</v>
      </c>
      <c r="V139" s="136">
        <f t="shared" ref="V139" si="394">IF(B139=360,I139,0)</f>
        <v>0</v>
      </c>
      <c r="W139" s="136">
        <f t="shared" ref="W139" si="395">IF(B139=410,I139,0)</f>
        <v>0</v>
      </c>
      <c r="X139" s="130">
        <f t="shared" ref="X139" si="396">+W139+Q139-O139</f>
        <v>0</v>
      </c>
      <c r="Z139" s="103"/>
      <c r="AA139" s="103"/>
      <c r="AB139" s="103"/>
      <c r="AD139" s="103"/>
      <c r="AE139" s="103"/>
      <c r="AF139" s="103"/>
      <c r="AH139" s="103"/>
      <c r="AI139" s="103"/>
      <c r="AJ139" s="103"/>
      <c r="AL139" s="103"/>
      <c r="AM139" s="103"/>
      <c r="AN139" s="103"/>
      <c r="AO139" s="165"/>
    </row>
    <row r="140" spans="1:41" s="129" customFormat="1" ht="13.2" customHeight="1" x14ac:dyDescent="0.25">
      <c r="A140" s="131"/>
      <c r="B140" s="134">
        <f>+'Expense Input'!B43</f>
        <v>100</v>
      </c>
      <c r="C140" s="134">
        <f>+'Expense Input'!C43</f>
        <v>4000</v>
      </c>
      <c r="D140" s="134">
        <f>+'Expense Input'!D43</f>
        <v>5100</v>
      </c>
      <c r="E140" s="134">
        <f>+'Expense Input'!E43</f>
        <v>730</v>
      </c>
      <c r="F140" s="134" t="str">
        <f>+'Expense Input'!F43</f>
        <v>Dues and Fees</v>
      </c>
      <c r="G140" s="103">
        <f>+'Expense Input'!Q43</f>
        <v>2585.0371339472622</v>
      </c>
      <c r="H140" s="103">
        <f>+'Expense Input'!R43</f>
        <v>2003.2009137309494</v>
      </c>
      <c r="I140" s="103">
        <f>+'Expense Input'!S43</f>
        <v>581.836220216313</v>
      </c>
      <c r="J140" s="129" t="str">
        <f t="shared" si="381"/>
        <v>*</v>
      </c>
      <c r="L140" s="132">
        <f t="shared" si="382"/>
        <v>0</v>
      </c>
      <c r="M140" s="132">
        <f t="shared" si="383"/>
        <v>2585.0371339472622</v>
      </c>
      <c r="N140" s="130"/>
      <c r="O140" s="136"/>
      <c r="P140" s="136">
        <f t="shared" si="384"/>
        <v>0</v>
      </c>
      <c r="Q140" s="136">
        <f t="shared" si="385"/>
        <v>0</v>
      </c>
      <c r="R140" s="136">
        <f t="shared" si="160"/>
        <v>0</v>
      </c>
      <c r="S140" s="136">
        <f t="shared" si="161"/>
        <v>0</v>
      </c>
      <c r="T140" s="136">
        <f t="shared" si="162"/>
        <v>0</v>
      </c>
      <c r="U140" s="136">
        <f t="shared" si="162"/>
        <v>0</v>
      </c>
      <c r="V140" s="136">
        <f t="shared" si="163"/>
        <v>0</v>
      </c>
      <c r="W140" s="136">
        <f t="shared" si="386"/>
        <v>0</v>
      </c>
      <c r="X140" s="130">
        <f t="shared" si="387"/>
        <v>0</v>
      </c>
      <c r="Z140" s="103"/>
      <c r="AA140" s="103"/>
      <c r="AB140" s="103"/>
      <c r="AD140" s="103"/>
      <c r="AE140" s="103"/>
      <c r="AF140" s="103"/>
      <c r="AH140" s="103"/>
      <c r="AI140" s="103"/>
      <c r="AJ140" s="103"/>
      <c r="AL140" s="103"/>
      <c r="AM140" s="103"/>
      <c r="AN140" s="103"/>
      <c r="AO140" s="165"/>
    </row>
    <row r="141" spans="1:41" s="129" customFormat="1" ht="13.2" customHeight="1" x14ac:dyDescent="0.25">
      <c r="A141" s="131"/>
      <c r="B141" s="134">
        <f>+'Expense Input'!B44</f>
        <v>100</v>
      </c>
      <c r="C141" s="134">
        <f>+'Expense Input'!C44</f>
        <v>4000</v>
      </c>
      <c r="D141" s="134">
        <f>+'Expense Input'!D44</f>
        <v>5100</v>
      </c>
      <c r="E141" s="134">
        <f>+'Expense Input'!E44</f>
        <v>750</v>
      </c>
      <c r="F141" s="134" t="str">
        <f>+'Expense Input'!F44</f>
        <v>Substitute Teachers</v>
      </c>
      <c r="G141" s="103">
        <f>+'Expense Input'!Q44</f>
        <v>22616.998867736896</v>
      </c>
      <c r="H141" s="103">
        <f>+'Expense Input'!R44</f>
        <v>12739.00667451904</v>
      </c>
      <c r="I141" s="103">
        <f>+'Expense Input'!S44</f>
        <v>9877.9921932178586</v>
      </c>
      <c r="J141" s="129" t="str">
        <f t="shared" si="381"/>
        <v>*</v>
      </c>
      <c r="L141" s="132">
        <f t="shared" si="382"/>
        <v>0</v>
      </c>
      <c r="M141" s="132">
        <f t="shared" si="383"/>
        <v>22616.998867736896</v>
      </c>
      <c r="N141" s="130"/>
      <c r="O141" s="136"/>
      <c r="P141" s="136">
        <f t="shared" si="384"/>
        <v>0</v>
      </c>
      <c r="Q141" s="136">
        <f t="shared" si="385"/>
        <v>0</v>
      </c>
      <c r="R141" s="136">
        <f t="shared" si="160"/>
        <v>0</v>
      </c>
      <c r="S141" s="136">
        <f t="shared" ref="S141:S143" si="397">IF(B141=432,I141,0)</f>
        <v>0</v>
      </c>
      <c r="T141" s="136">
        <f t="shared" si="162"/>
        <v>0</v>
      </c>
      <c r="U141" s="136">
        <f t="shared" si="162"/>
        <v>0</v>
      </c>
      <c r="V141" s="136">
        <f t="shared" si="163"/>
        <v>0</v>
      </c>
      <c r="W141" s="136">
        <f t="shared" si="386"/>
        <v>0</v>
      </c>
      <c r="X141" s="130">
        <f t="shared" si="387"/>
        <v>0</v>
      </c>
      <c r="Z141" s="103"/>
      <c r="AA141" s="103"/>
      <c r="AB141" s="103"/>
      <c r="AD141" s="103"/>
      <c r="AE141" s="103"/>
      <c r="AF141" s="103"/>
      <c r="AH141" s="103"/>
      <c r="AI141" s="103"/>
      <c r="AJ141" s="103"/>
      <c r="AL141" s="103"/>
      <c r="AM141" s="103"/>
      <c r="AN141" s="103"/>
      <c r="AO141" s="165"/>
    </row>
    <row r="142" spans="1:41" s="129" customFormat="1" ht="13.2" hidden="1" customHeight="1" x14ac:dyDescent="0.25">
      <c r="A142" s="131"/>
      <c r="B142" s="134"/>
      <c r="C142" s="134"/>
      <c r="D142" s="134"/>
      <c r="E142" s="134"/>
      <c r="F142" s="134"/>
      <c r="G142" s="103"/>
      <c r="H142" s="103"/>
      <c r="I142" s="103"/>
      <c r="J142" s="129" t="str">
        <f t="shared" ref="J142:J143" si="398">IF(G142&gt;0.49,"*","")</f>
        <v/>
      </c>
      <c r="L142" s="132">
        <f t="shared" ref="L142:L143" si="399">IF(E142&lt;300,G142,0)</f>
        <v>0</v>
      </c>
      <c r="M142" s="132">
        <f t="shared" ref="M142:M143" si="400">IF(E142&gt;299,G142,0)</f>
        <v>0</v>
      </c>
      <c r="N142" s="130"/>
      <c r="O142" s="136"/>
      <c r="P142" s="136">
        <f t="shared" ref="P142:P143" si="401">IF(B142=490,G142,0)</f>
        <v>0</v>
      </c>
      <c r="Q142" s="136">
        <f t="shared" ref="Q142:Q143" si="402">IF(B142=410,H142,0)</f>
        <v>0</v>
      </c>
      <c r="R142" s="136">
        <f t="shared" ref="R142:R143" si="403">IF(B142=432,H142,0)</f>
        <v>0</v>
      </c>
      <c r="S142" s="136">
        <f t="shared" si="397"/>
        <v>0</v>
      </c>
      <c r="T142" s="136">
        <f t="shared" si="162"/>
        <v>0</v>
      </c>
      <c r="U142" s="136">
        <f t="shared" si="162"/>
        <v>0</v>
      </c>
      <c r="V142" s="136">
        <f t="shared" ref="V142:V143" si="404">IF(B142=360,I142,0)</f>
        <v>0</v>
      </c>
      <c r="W142" s="136">
        <f t="shared" ref="W142:W143" si="405">IF(B142=410,I142,0)</f>
        <v>0</v>
      </c>
      <c r="X142" s="130">
        <f t="shared" ref="X142:X143" si="406">+W142+Q142-O142</f>
        <v>0</v>
      </c>
      <c r="Z142" s="103"/>
      <c r="AA142" s="103"/>
      <c r="AB142" s="103"/>
      <c r="AD142" s="103"/>
      <c r="AE142" s="103"/>
      <c r="AF142" s="103"/>
      <c r="AH142" s="103"/>
      <c r="AI142" s="103"/>
      <c r="AJ142" s="103"/>
      <c r="AL142" s="103"/>
      <c r="AM142" s="103"/>
      <c r="AN142" s="103"/>
      <c r="AO142" s="165"/>
    </row>
    <row r="143" spans="1:41" s="129" customFormat="1" ht="13.2" hidden="1" customHeight="1" x14ac:dyDescent="0.25">
      <c r="A143" s="131"/>
      <c r="B143" s="134"/>
      <c r="C143" s="134"/>
      <c r="D143" s="134"/>
      <c r="E143" s="134"/>
      <c r="F143" s="134"/>
      <c r="G143" s="103"/>
      <c r="H143" s="103"/>
      <c r="I143" s="103"/>
      <c r="J143" s="129" t="str">
        <f t="shared" si="398"/>
        <v/>
      </c>
      <c r="L143" s="132">
        <f t="shared" si="399"/>
        <v>0</v>
      </c>
      <c r="M143" s="132">
        <f t="shared" si="400"/>
        <v>0</v>
      </c>
      <c r="N143" s="130"/>
      <c r="O143" s="136"/>
      <c r="P143" s="136">
        <f t="shared" si="401"/>
        <v>0</v>
      </c>
      <c r="Q143" s="136">
        <f t="shared" si="402"/>
        <v>0</v>
      </c>
      <c r="R143" s="136">
        <f t="shared" si="403"/>
        <v>0</v>
      </c>
      <c r="S143" s="136">
        <f t="shared" si="397"/>
        <v>0</v>
      </c>
      <c r="T143" s="136">
        <f t="shared" si="162"/>
        <v>0</v>
      </c>
      <c r="U143" s="136">
        <f t="shared" si="162"/>
        <v>0</v>
      </c>
      <c r="V143" s="136">
        <f t="shared" si="404"/>
        <v>0</v>
      </c>
      <c r="W143" s="136">
        <f t="shared" si="405"/>
        <v>0</v>
      </c>
      <c r="X143" s="130">
        <f t="shared" si="406"/>
        <v>0</v>
      </c>
      <c r="Z143" s="103"/>
      <c r="AA143" s="103"/>
      <c r="AB143" s="103"/>
      <c r="AD143" s="103"/>
      <c r="AE143" s="103"/>
      <c r="AF143" s="103"/>
      <c r="AH143" s="103"/>
      <c r="AI143" s="103"/>
      <c r="AJ143" s="103"/>
      <c r="AL143" s="103"/>
      <c r="AM143" s="103"/>
      <c r="AN143" s="103"/>
      <c r="AO143" s="165"/>
    </row>
    <row r="144" spans="1:41" s="129" customFormat="1" ht="13.2" hidden="1" customHeight="1" x14ac:dyDescent="0.25">
      <c r="A144" s="131"/>
      <c r="B144" s="134"/>
      <c r="C144" s="134"/>
      <c r="D144" s="134"/>
      <c r="E144" s="134"/>
      <c r="F144" s="134"/>
      <c r="G144" s="103"/>
      <c r="H144" s="103"/>
      <c r="I144" s="103"/>
      <c r="J144" s="129" t="str">
        <f t="shared" ref="J144" si="407">IF(G144&gt;0.49,"*","")</f>
        <v/>
      </c>
      <c r="L144" s="132">
        <f t="shared" ref="L144" si="408">IF(E144&lt;300,G144,0)</f>
        <v>0</v>
      </c>
      <c r="M144" s="132">
        <f t="shared" ref="M144" si="409">IF(E144&gt;299,G144,0)</f>
        <v>0</v>
      </c>
      <c r="N144" s="130"/>
      <c r="O144" s="136"/>
      <c r="P144" s="136">
        <f t="shared" ref="P144" si="410">IF(B144=490,G144,0)</f>
        <v>0</v>
      </c>
      <c r="Q144" s="136">
        <f t="shared" ref="Q144" si="411">IF(B144=410,H144,0)</f>
        <v>0</v>
      </c>
      <c r="R144" s="136">
        <f t="shared" ref="R144" si="412">IF(B144=432,H144,0)</f>
        <v>0</v>
      </c>
      <c r="S144" s="136">
        <f t="shared" si="161"/>
        <v>0</v>
      </c>
      <c r="T144" s="136">
        <f t="shared" si="162"/>
        <v>0</v>
      </c>
      <c r="U144" s="136">
        <f t="shared" si="162"/>
        <v>0</v>
      </c>
      <c r="V144" s="136">
        <f t="shared" ref="V144" si="413">IF(B144=360,I144,0)</f>
        <v>0</v>
      </c>
      <c r="W144" s="136">
        <f t="shared" ref="W144" si="414">IF(B144=410,I144,0)</f>
        <v>0</v>
      </c>
      <c r="X144" s="130">
        <f t="shared" ref="X144" si="415">+W144+Q144-O144</f>
        <v>0</v>
      </c>
      <c r="Z144" s="103"/>
      <c r="AA144" s="103"/>
      <c r="AB144" s="103"/>
      <c r="AD144" s="103"/>
      <c r="AE144" s="103"/>
      <c r="AF144" s="103"/>
      <c r="AH144" s="103"/>
      <c r="AI144" s="103"/>
      <c r="AJ144" s="103"/>
      <c r="AL144" s="103"/>
      <c r="AM144" s="103"/>
      <c r="AN144" s="103"/>
      <c r="AO144" s="165"/>
    </row>
    <row r="145" spans="1:41" s="129" customFormat="1" ht="13.2" hidden="1" customHeight="1" x14ac:dyDescent="0.25">
      <c r="A145" s="131"/>
      <c r="B145" s="134"/>
      <c r="C145" s="134"/>
      <c r="D145" s="134"/>
      <c r="E145" s="134"/>
      <c r="F145" s="134"/>
      <c r="G145" s="103"/>
      <c r="H145" s="103"/>
      <c r="I145" s="103"/>
      <c r="J145" s="129" t="str">
        <f t="shared" si="381"/>
        <v/>
      </c>
      <c r="L145" s="132">
        <f t="shared" si="382"/>
        <v>0</v>
      </c>
      <c r="M145" s="132">
        <f t="shared" si="383"/>
        <v>0</v>
      </c>
      <c r="N145" s="130"/>
      <c r="O145" s="136"/>
      <c r="P145" s="136">
        <f t="shared" si="384"/>
        <v>0</v>
      </c>
      <c r="Q145" s="136">
        <f t="shared" si="385"/>
        <v>0</v>
      </c>
      <c r="R145" s="136">
        <f t="shared" si="160"/>
        <v>0</v>
      </c>
      <c r="S145" s="136">
        <f t="shared" si="161"/>
        <v>0</v>
      </c>
      <c r="T145" s="136">
        <f t="shared" si="162"/>
        <v>0</v>
      </c>
      <c r="U145" s="136">
        <f t="shared" si="162"/>
        <v>0</v>
      </c>
      <c r="V145" s="136">
        <f t="shared" si="163"/>
        <v>0</v>
      </c>
      <c r="W145" s="136">
        <f t="shared" si="386"/>
        <v>0</v>
      </c>
      <c r="X145" s="130">
        <f t="shared" si="387"/>
        <v>0</v>
      </c>
      <c r="Z145" s="103"/>
      <c r="AA145" s="103"/>
      <c r="AB145" s="103"/>
      <c r="AD145" s="103"/>
      <c r="AE145" s="103"/>
      <c r="AF145" s="103"/>
      <c r="AH145" s="103"/>
      <c r="AI145" s="103"/>
      <c r="AJ145" s="103"/>
      <c r="AL145" s="103"/>
      <c r="AM145" s="103"/>
      <c r="AN145" s="103"/>
      <c r="AO145" s="165"/>
    </row>
    <row r="146" spans="1:41" s="129" customFormat="1" ht="13.2" hidden="1" customHeight="1" x14ac:dyDescent="0.25">
      <c r="A146" s="131"/>
      <c r="B146" s="134"/>
      <c r="C146" s="134"/>
      <c r="D146" s="134"/>
      <c r="E146" s="134"/>
      <c r="F146" s="134"/>
      <c r="G146" s="103"/>
      <c r="H146" s="103"/>
      <c r="I146" s="103"/>
      <c r="J146" s="129" t="str">
        <f t="shared" ref="J146" si="416">IF(G146&gt;0.49,"*","")</f>
        <v/>
      </c>
      <c r="L146" s="132">
        <f t="shared" ref="L146" si="417">IF(E146&lt;300,G146,0)</f>
        <v>0</v>
      </c>
      <c r="M146" s="132">
        <f t="shared" ref="M146" si="418">IF(E146&gt;299,G146,0)</f>
        <v>0</v>
      </c>
      <c r="N146" s="130"/>
      <c r="O146" s="136"/>
      <c r="P146" s="136">
        <f t="shared" ref="P146" si="419">IF(B146=490,G146,0)</f>
        <v>0</v>
      </c>
      <c r="Q146" s="136">
        <f t="shared" ref="Q146" si="420">IF(B146=410,H146,0)</f>
        <v>0</v>
      </c>
      <c r="R146" s="136">
        <f t="shared" ref="R146" si="421">IF(B146=432,H146,0)</f>
        <v>0</v>
      </c>
      <c r="S146" s="136">
        <f t="shared" si="161"/>
        <v>0</v>
      </c>
      <c r="T146" s="136">
        <f t="shared" si="162"/>
        <v>0</v>
      </c>
      <c r="U146" s="136">
        <f t="shared" si="162"/>
        <v>0</v>
      </c>
      <c r="V146" s="136">
        <f t="shared" ref="V146" si="422">IF(B146=360,I146,0)</f>
        <v>0</v>
      </c>
      <c r="W146" s="136">
        <f t="shared" ref="W146" si="423">IF(B146=410,I146,0)</f>
        <v>0</v>
      </c>
      <c r="X146" s="130">
        <f t="shared" ref="X146" si="424">+W146+Q146-O146</f>
        <v>0</v>
      </c>
      <c r="Z146" s="103"/>
      <c r="AA146" s="103"/>
      <c r="AB146" s="103"/>
      <c r="AD146" s="103"/>
      <c r="AE146" s="103"/>
      <c r="AF146" s="103"/>
      <c r="AH146" s="103"/>
      <c r="AI146" s="103"/>
      <c r="AJ146" s="103"/>
      <c r="AL146" s="103"/>
      <c r="AM146" s="103"/>
      <c r="AN146" s="103"/>
      <c r="AO146" s="165"/>
    </row>
    <row r="147" spans="1:41" x14ac:dyDescent="0.25">
      <c r="A147" s="131"/>
      <c r="B147" s="63"/>
      <c r="C147" s="63"/>
      <c r="D147" s="63"/>
      <c r="E147" s="63"/>
      <c r="F147" s="63"/>
      <c r="H147" s="81"/>
      <c r="I147" s="81"/>
      <c r="J147" s="129" t="str">
        <f>IF(J148="*","*","")</f>
        <v>*</v>
      </c>
      <c r="L147" s="132">
        <f t="shared" si="194"/>
        <v>0</v>
      </c>
      <c r="M147" s="132">
        <f t="shared" si="157"/>
        <v>0</v>
      </c>
      <c r="N147" s="130"/>
      <c r="O147" s="136"/>
      <c r="P147" s="136">
        <f>IF(B147=432,G147,0)</f>
        <v>0</v>
      </c>
      <c r="Q147" s="136">
        <f t="shared" si="159"/>
        <v>0</v>
      </c>
      <c r="R147" s="136">
        <f t="shared" si="160"/>
        <v>0</v>
      </c>
      <c r="S147" s="136">
        <f t="shared" si="161"/>
        <v>0</v>
      </c>
      <c r="T147" s="136">
        <f t="shared" si="162"/>
        <v>0</v>
      </c>
      <c r="U147" s="136">
        <f t="shared" si="162"/>
        <v>0</v>
      </c>
      <c r="V147" s="136">
        <f t="shared" si="163"/>
        <v>0</v>
      </c>
      <c r="W147" s="136">
        <f t="shared" si="164"/>
        <v>0</v>
      </c>
      <c r="X147" s="130">
        <f t="shared" si="305"/>
        <v>0</v>
      </c>
      <c r="AO147" s="165"/>
    </row>
    <row r="148" spans="1:41" x14ac:dyDescent="0.25">
      <c r="A148" s="131"/>
      <c r="B148" s="89"/>
      <c r="C148" s="89"/>
      <c r="D148" s="89"/>
      <c r="E148" s="89"/>
      <c r="F148" s="85" t="s">
        <v>53</v>
      </c>
      <c r="G148" s="86">
        <f>SUM(G85:G147)</f>
        <v>2180080.9797998751</v>
      </c>
      <c r="H148" s="278">
        <f>SUM(H85:H147)</f>
        <v>1514579.6656643706</v>
      </c>
      <c r="I148" s="278">
        <f>SUM(I85:I147)</f>
        <v>665501.31413550361</v>
      </c>
      <c r="J148" s="129" t="str">
        <f>IF(G148&gt;0.49,"*","")</f>
        <v>*</v>
      </c>
      <c r="L148" s="133">
        <f>SUM(L85:L147)</f>
        <v>1934528.0620768706</v>
      </c>
      <c r="M148" s="133">
        <f>SUM(M85:M147)</f>
        <v>245552.91772300401</v>
      </c>
      <c r="N148" s="130"/>
      <c r="O148" s="133"/>
      <c r="P148" s="133">
        <f t="shared" ref="P148:X148" si="425">SUM(P85:P147)</f>
        <v>0</v>
      </c>
      <c r="Q148" s="133">
        <f t="shared" si="425"/>
        <v>0</v>
      </c>
      <c r="R148" s="133">
        <f>SUM(R85:R147)</f>
        <v>152737.43239999999</v>
      </c>
      <c r="S148" s="133">
        <f t="shared" ref="S148:U148" si="426">SUM(S85:S147)</f>
        <v>18526.8</v>
      </c>
      <c r="T148" s="133">
        <f t="shared" si="426"/>
        <v>126100</v>
      </c>
      <c r="U148" s="133">
        <f t="shared" si="426"/>
        <v>37400</v>
      </c>
      <c r="V148" s="133">
        <f t="shared" si="425"/>
        <v>0</v>
      </c>
      <c r="W148" s="133">
        <f t="shared" si="425"/>
        <v>0</v>
      </c>
      <c r="X148" s="133">
        <f t="shared" si="425"/>
        <v>0</v>
      </c>
      <c r="Z148" s="86">
        <f>SUM(Z85:Z147)</f>
        <v>2470805.3308631163</v>
      </c>
      <c r="AA148" s="86">
        <f>SUM(AA85:AA147)</f>
        <v>1587945.4214998656</v>
      </c>
      <c r="AB148" s="86">
        <f>SUM(AB85:AB147)</f>
        <v>882859.90936325025</v>
      </c>
      <c r="AD148" s="86">
        <f>SUM(AD85:AD147)</f>
        <v>2496528.4647920472</v>
      </c>
      <c r="AE148" s="86">
        <f>SUM(AE85:AE147)</f>
        <v>1604400.6408327264</v>
      </c>
      <c r="AF148" s="86">
        <f>SUM(AF85:AF147)</f>
        <v>892127.8239593216</v>
      </c>
      <c r="AH148" s="86">
        <f>SUM(AH85:AH147)</f>
        <v>2680102.2746647699</v>
      </c>
      <c r="AI148" s="86">
        <f>SUM(AI85:AI147)</f>
        <v>1716948.4464235823</v>
      </c>
      <c r="AJ148" s="86">
        <f>SUM(AJ85:AJ147)</f>
        <v>963153.8282411875</v>
      </c>
      <c r="AL148" s="86">
        <f>SUM(AL85:AL147)</f>
        <v>2708028.7804551171</v>
      </c>
      <c r="AM148" s="86">
        <f>SUM(AM85:AM147)</f>
        <v>1734753.7423795848</v>
      </c>
      <c r="AN148" s="86">
        <f>SUM(AN85:AN147)</f>
        <v>973275.03807553207</v>
      </c>
      <c r="AO148" s="165"/>
    </row>
    <row r="149" spans="1:41" x14ac:dyDescent="0.25">
      <c r="A149" s="131"/>
      <c r="B149" s="77"/>
      <c r="C149" s="77"/>
      <c r="D149" s="77"/>
      <c r="E149" s="77"/>
      <c r="F149" s="89"/>
      <c r="H149" s="81"/>
      <c r="I149" s="81"/>
      <c r="J149" s="129" t="str">
        <f>IF(J148="*","*","")</f>
        <v>*</v>
      </c>
      <c r="L149" s="132">
        <f t="shared" si="194"/>
        <v>0</v>
      </c>
      <c r="M149" s="132">
        <f t="shared" ref="M149:M168" si="427">IF(E149&gt;299,G149,0)</f>
        <v>0</v>
      </c>
      <c r="N149" s="130"/>
      <c r="O149" s="136"/>
      <c r="P149" s="136">
        <f>IF(B149=432,G149,0)</f>
        <v>0</v>
      </c>
      <c r="Q149" s="136">
        <f t="shared" ref="Q149:Q168" si="428">IF(B149=410,H149,0)</f>
        <v>0</v>
      </c>
      <c r="R149" s="136">
        <f t="shared" ref="R149:R168" si="429">IF(B149=432,H149,0)</f>
        <v>0</v>
      </c>
      <c r="S149" s="136">
        <f t="shared" si="161"/>
        <v>0</v>
      </c>
      <c r="T149" s="136">
        <f t="shared" si="162"/>
        <v>0</v>
      </c>
      <c r="U149" s="136">
        <f t="shared" si="162"/>
        <v>0</v>
      </c>
      <c r="V149" s="136">
        <f t="shared" ref="V149:V168" si="430">IF(B149=360,I149,0)</f>
        <v>0</v>
      </c>
      <c r="W149" s="136">
        <f t="shared" ref="W149:W168" si="431">IF(B149=410,I149,0)</f>
        <v>0</v>
      </c>
      <c r="X149" s="130">
        <f t="shared" si="305"/>
        <v>0</v>
      </c>
      <c r="AO149" s="165"/>
    </row>
    <row r="150" spans="1:41" s="1" customFormat="1" x14ac:dyDescent="0.25">
      <c r="A150" s="131"/>
      <c r="B150" s="134">
        <v>100</v>
      </c>
      <c r="C150" s="134">
        <v>4000</v>
      </c>
      <c r="D150" s="134">
        <v>5200</v>
      </c>
      <c r="E150" s="134">
        <v>120</v>
      </c>
      <c r="F150" s="134" t="s">
        <v>54</v>
      </c>
      <c r="G150" s="132">
        <f>+'Payroll Input'!H82</f>
        <v>93540</v>
      </c>
      <c r="H150" s="103">
        <f>+SUM('Payroll Input'!H77:H78)</f>
        <v>44540</v>
      </c>
      <c r="I150" s="103">
        <f>+SUM('Payroll Input'!H$80:H$81)</f>
        <v>49000</v>
      </c>
      <c r="J150" s="129" t="str">
        <f t="shared" ref="J150:J167" si="432">IF(G150&gt;0.49,"*","")</f>
        <v>*</v>
      </c>
      <c r="K150" s="129"/>
      <c r="L150" s="132">
        <f t="shared" si="194"/>
        <v>93540</v>
      </c>
      <c r="M150" s="132">
        <f t="shared" si="427"/>
        <v>0</v>
      </c>
      <c r="N150" s="130"/>
      <c r="O150" s="136"/>
      <c r="P150" s="136">
        <f t="shared" ref="P150:P167" si="433">IF(B150=490,G150,0)</f>
        <v>0</v>
      </c>
      <c r="Q150" s="136">
        <f t="shared" si="428"/>
        <v>0</v>
      </c>
      <c r="R150" s="136">
        <f t="shared" si="429"/>
        <v>0</v>
      </c>
      <c r="S150" s="136">
        <f t="shared" si="161"/>
        <v>0</v>
      </c>
      <c r="T150" s="136">
        <f t="shared" si="162"/>
        <v>0</v>
      </c>
      <c r="U150" s="136">
        <f t="shared" si="162"/>
        <v>0</v>
      </c>
      <c r="V150" s="136">
        <f t="shared" si="430"/>
        <v>0</v>
      </c>
      <c r="W150" s="136">
        <f t="shared" si="431"/>
        <v>0</v>
      </c>
      <c r="X150" s="130">
        <f t="shared" si="305"/>
        <v>0</v>
      </c>
      <c r="Y150" s="129"/>
      <c r="Z150" s="132">
        <f t="shared" ref="Z150" si="434">AA150+AB150</f>
        <v>94475.4</v>
      </c>
      <c r="AA150" s="132">
        <f t="shared" ref="AA150:AB152" si="435">(H150)*Inf</f>
        <v>44985.4</v>
      </c>
      <c r="AB150" s="132">
        <f t="shared" si="435"/>
        <v>49490</v>
      </c>
      <c r="AC150" s="77"/>
      <c r="AD150" s="103">
        <f t="shared" ref="AD150" si="436">AE150+AF150</f>
        <v>95420.15400000001</v>
      </c>
      <c r="AE150" s="103">
        <f t="shared" ref="AE150:AF152" si="437">(AA150)*Inf</f>
        <v>45435.254000000001</v>
      </c>
      <c r="AF150" s="103">
        <f t="shared" si="437"/>
        <v>49984.9</v>
      </c>
      <c r="AG150" s="77"/>
      <c r="AH150" s="103">
        <f t="shared" ref="AH150" si="438">AI150+AJ150</f>
        <v>96374.355540000004</v>
      </c>
      <c r="AI150" s="103">
        <f t="shared" ref="AI150:AJ152" si="439">(AE150)*Inf</f>
        <v>45889.606540000001</v>
      </c>
      <c r="AJ150" s="103">
        <f t="shared" si="439"/>
        <v>50484.749000000003</v>
      </c>
      <c r="AK150" s="77"/>
      <c r="AL150" s="103">
        <f t="shared" ref="AL150" si="440">AM150+AN150</f>
        <v>97338.099095400015</v>
      </c>
      <c r="AM150" s="103">
        <f t="shared" ref="AM150:AN152" si="441">(AI150)*Inf</f>
        <v>46348.502605400005</v>
      </c>
      <c r="AN150" s="103">
        <f t="shared" si="441"/>
        <v>50989.596490000004</v>
      </c>
      <c r="AO150" s="165" t="s">
        <v>35</v>
      </c>
    </row>
    <row r="151" spans="1:41" s="1" customFormat="1" ht="13.2" hidden="1" customHeight="1" x14ac:dyDescent="0.25">
      <c r="A151" s="131"/>
      <c r="B151" s="134">
        <v>100</v>
      </c>
      <c r="C151" s="134">
        <v>4000</v>
      </c>
      <c r="D151" s="134">
        <v>5200</v>
      </c>
      <c r="E151" s="134">
        <v>150</v>
      </c>
      <c r="F151" s="134" t="s">
        <v>55</v>
      </c>
      <c r="G151" s="132">
        <f>+'Payroll Input'!H90-G152</f>
        <v>0</v>
      </c>
      <c r="H151" s="132">
        <f>+SUM('Payroll Input'!H85:H86)</f>
        <v>0</v>
      </c>
      <c r="I151" s="132">
        <f>+SUM('Payroll Input'!H88:H89)-I152</f>
        <v>0</v>
      </c>
      <c r="J151" s="129" t="str">
        <f t="shared" ref="J151" si="442">IF(G151&gt;0.49,"*","")</f>
        <v/>
      </c>
      <c r="K151" s="129"/>
      <c r="L151" s="132">
        <f t="shared" si="194"/>
        <v>0</v>
      </c>
      <c r="M151" s="132">
        <f t="shared" si="427"/>
        <v>0</v>
      </c>
      <c r="N151" s="130"/>
      <c r="O151" s="136"/>
      <c r="P151" s="136">
        <f t="shared" si="433"/>
        <v>0</v>
      </c>
      <c r="Q151" s="136">
        <f t="shared" si="428"/>
        <v>0</v>
      </c>
      <c r="R151" s="136">
        <f t="shared" si="429"/>
        <v>0</v>
      </c>
      <c r="S151" s="136">
        <f t="shared" si="161"/>
        <v>0</v>
      </c>
      <c r="T151" s="136">
        <f t="shared" ref="T151:U210" si="443">IF($B151=435,H151,0)</f>
        <v>0</v>
      </c>
      <c r="U151" s="136">
        <f t="shared" si="443"/>
        <v>0</v>
      </c>
      <c r="V151" s="136">
        <f t="shared" si="430"/>
        <v>0</v>
      </c>
      <c r="W151" s="136">
        <f t="shared" si="431"/>
        <v>0</v>
      </c>
      <c r="X151" s="130">
        <f t="shared" si="305"/>
        <v>0</v>
      </c>
      <c r="Y151" s="129"/>
      <c r="Z151" s="132">
        <f t="shared" ref="Z151" si="444">AA151+AB151</f>
        <v>0</v>
      </c>
      <c r="AA151" s="132">
        <f t="shared" si="435"/>
        <v>0</v>
      </c>
      <c r="AB151" s="132">
        <f t="shared" si="435"/>
        <v>0</v>
      </c>
      <c r="AC151" s="77"/>
      <c r="AD151" s="103">
        <f t="shared" ref="AD151" si="445">AE151+AF151</f>
        <v>0</v>
      </c>
      <c r="AE151" s="103">
        <f t="shared" si="437"/>
        <v>0</v>
      </c>
      <c r="AF151" s="103">
        <f t="shared" si="437"/>
        <v>0</v>
      </c>
      <c r="AG151" s="77"/>
      <c r="AH151" s="103">
        <f t="shared" ref="AH151" si="446">AI151+AJ151</f>
        <v>0</v>
      </c>
      <c r="AI151" s="103">
        <f t="shared" si="439"/>
        <v>0</v>
      </c>
      <c r="AJ151" s="103">
        <f t="shared" si="439"/>
        <v>0</v>
      </c>
      <c r="AK151" s="77"/>
      <c r="AL151" s="103">
        <f t="shared" ref="AL151" si="447">AM151+AN151</f>
        <v>0</v>
      </c>
      <c r="AM151" s="103">
        <f t="shared" si="441"/>
        <v>0</v>
      </c>
      <c r="AN151" s="103">
        <f t="shared" si="441"/>
        <v>0</v>
      </c>
      <c r="AO151" s="165" t="s">
        <v>35</v>
      </c>
    </row>
    <row r="152" spans="1:41" s="129" customFormat="1" x14ac:dyDescent="0.25">
      <c r="A152" s="131"/>
      <c r="B152" s="134">
        <v>432</v>
      </c>
      <c r="C152" s="134">
        <v>4000</v>
      </c>
      <c r="D152" s="134">
        <v>5200</v>
      </c>
      <c r="E152" s="134">
        <v>150</v>
      </c>
      <c r="F152" s="134" t="s">
        <v>55</v>
      </c>
      <c r="G152" s="103">
        <f>+H152+I152</f>
        <v>37948</v>
      </c>
      <c r="H152" s="103">
        <v>0</v>
      </c>
      <c r="I152" s="103">
        <f>21480+16468</f>
        <v>37948</v>
      </c>
      <c r="J152" s="129" t="str">
        <f t="shared" ref="J152" si="448">IF(G152&gt;0.49,"*","")</f>
        <v>*</v>
      </c>
      <c r="L152" s="132">
        <f t="shared" ref="L152" si="449">IF(E152&lt;300,G152,0)</f>
        <v>37948</v>
      </c>
      <c r="M152" s="132">
        <f t="shared" ref="M152" si="450">IF(E152&gt;299,G152,0)</f>
        <v>0</v>
      </c>
      <c r="N152" s="130"/>
      <c r="O152" s="136"/>
      <c r="P152" s="136">
        <f t="shared" ref="P152" si="451">IF(B152=490,G152,0)</f>
        <v>0</v>
      </c>
      <c r="Q152" s="136">
        <f t="shared" ref="Q152" si="452">IF(B152=410,H152,0)</f>
        <v>0</v>
      </c>
      <c r="R152" s="136">
        <f t="shared" ref="R152" si="453">IF(B152=432,H152,0)</f>
        <v>0</v>
      </c>
      <c r="S152" s="136">
        <f t="shared" ref="S152" si="454">IF(B152=432,I152,0)</f>
        <v>37948</v>
      </c>
      <c r="T152" s="136">
        <f>IF($B152=435,H152,0)</f>
        <v>0</v>
      </c>
      <c r="U152" s="136">
        <f>IF($B152=435,I152,0)</f>
        <v>0</v>
      </c>
      <c r="V152" s="136">
        <f t="shared" ref="V152" si="455">IF(B152=360,I152,0)</f>
        <v>0</v>
      </c>
      <c r="W152" s="136">
        <f t="shared" ref="W152" si="456">IF(B152=410,I152,0)</f>
        <v>0</v>
      </c>
      <c r="X152" s="130">
        <f t="shared" ref="X152" si="457">+W152+Q152-O152</f>
        <v>0</v>
      </c>
      <c r="Z152" s="132">
        <f t="shared" ref="Z152" si="458">AA152+AB152</f>
        <v>38327.480000000003</v>
      </c>
      <c r="AA152" s="132">
        <f t="shared" si="435"/>
        <v>0</v>
      </c>
      <c r="AB152" s="132">
        <f t="shared" si="435"/>
        <v>38327.480000000003</v>
      </c>
      <c r="AC152" s="77"/>
      <c r="AD152" s="103">
        <f t="shared" ref="AD152" si="459">AE152+AF152</f>
        <v>38710.754800000002</v>
      </c>
      <c r="AE152" s="103">
        <f t="shared" si="437"/>
        <v>0</v>
      </c>
      <c r="AF152" s="103">
        <f t="shared" si="437"/>
        <v>38710.754800000002</v>
      </c>
      <c r="AG152" s="77"/>
      <c r="AH152" s="103">
        <f t="shared" ref="AH152" si="460">AI152+AJ152</f>
        <v>39097.862348000002</v>
      </c>
      <c r="AI152" s="103">
        <f t="shared" si="439"/>
        <v>0</v>
      </c>
      <c r="AJ152" s="103">
        <f t="shared" si="439"/>
        <v>39097.862348000002</v>
      </c>
      <c r="AK152" s="77"/>
      <c r="AL152" s="103">
        <f t="shared" ref="AL152" si="461">AM152+AN152</f>
        <v>39488.84097148</v>
      </c>
      <c r="AM152" s="103">
        <f t="shared" si="441"/>
        <v>0</v>
      </c>
      <c r="AN152" s="103">
        <f t="shared" si="441"/>
        <v>39488.84097148</v>
      </c>
      <c r="AO152" s="165" t="s">
        <v>35</v>
      </c>
    </row>
    <row r="153" spans="1:41" s="1" customFormat="1" x14ac:dyDescent="0.25">
      <c r="A153" s="131"/>
      <c r="B153" s="134">
        <v>100</v>
      </c>
      <c r="C153" s="134">
        <v>4000</v>
      </c>
      <c r="D153" s="134">
        <v>5200</v>
      </c>
      <c r="E153" s="134">
        <v>210</v>
      </c>
      <c r="F153" s="134" t="s">
        <v>45</v>
      </c>
      <c r="G153" s="132">
        <f>+'Payroll Input'!I82+'Payroll Input'!I90-G154</f>
        <v>11140.614</v>
      </c>
      <c r="H153" s="103">
        <f>+SUM('Payroll Input'!I77:I78)+SUM('Payroll Input'!I85:I86)</f>
        <v>5304.7139999999999</v>
      </c>
      <c r="I153" s="103">
        <f>+SUM('Payroll Input'!I$80:I$81)+SUM('Payroll Input'!I88:I89)-I154</f>
        <v>5835.9</v>
      </c>
      <c r="J153" s="129" t="str">
        <f t="shared" si="432"/>
        <v>*</v>
      </c>
      <c r="K153" s="129"/>
      <c r="L153" s="132">
        <f t="shared" si="194"/>
        <v>11140.614</v>
      </c>
      <c r="M153" s="132">
        <f t="shared" si="427"/>
        <v>0</v>
      </c>
      <c r="N153" s="130"/>
      <c r="O153" s="136"/>
      <c r="P153" s="136">
        <f t="shared" si="433"/>
        <v>0</v>
      </c>
      <c r="Q153" s="136">
        <f t="shared" si="428"/>
        <v>0</v>
      </c>
      <c r="R153" s="136">
        <f t="shared" si="429"/>
        <v>0</v>
      </c>
      <c r="S153" s="136">
        <f t="shared" si="161"/>
        <v>0</v>
      </c>
      <c r="T153" s="136">
        <f t="shared" si="443"/>
        <v>0</v>
      </c>
      <c r="U153" s="136">
        <f t="shared" si="443"/>
        <v>0</v>
      </c>
      <c r="V153" s="136">
        <f t="shared" si="430"/>
        <v>0</v>
      </c>
      <c r="W153" s="136">
        <f t="shared" si="431"/>
        <v>0</v>
      </c>
      <c r="X153" s="130">
        <f t="shared" si="305"/>
        <v>0</v>
      </c>
      <c r="Y153" s="129"/>
      <c r="Z153" s="132">
        <f t="shared" ref="Z153:Z162" si="462">AA153+AB153</f>
        <v>9447.5400000000009</v>
      </c>
      <c r="AA153" s="132">
        <f>SUM(AA$150:AA$151)*10%</f>
        <v>4498.54</v>
      </c>
      <c r="AB153" s="132">
        <f>SUM(AB$150:AB$151)*10%</f>
        <v>4949</v>
      </c>
      <c r="AC153" s="129"/>
      <c r="AD153" s="103">
        <f t="shared" ref="AD153:AD162" si="463">AE153+AF153</f>
        <v>9542.0154000000002</v>
      </c>
      <c r="AE153" s="132">
        <f>SUM(AE$150:AE$151)*10%</f>
        <v>4543.5254000000004</v>
      </c>
      <c r="AF153" s="132">
        <f>SUM(AF$150:AF$151)*10%</f>
        <v>4998.4900000000007</v>
      </c>
      <c r="AG153" s="129"/>
      <c r="AH153" s="103">
        <f t="shared" ref="AH153:AH162" si="464">AI153+AJ153</f>
        <v>9637.4355540000015</v>
      </c>
      <c r="AI153" s="132">
        <f>SUM(AI$150:AI$151)*10%</f>
        <v>4588.9606540000004</v>
      </c>
      <c r="AJ153" s="132">
        <f>SUM(AJ$150:AJ$151)*10%</f>
        <v>5048.4749000000011</v>
      </c>
      <c r="AK153" s="129"/>
      <c r="AL153" s="103">
        <f t="shared" ref="AL153:AL162" si="465">AM153+AN153</f>
        <v>9733.8099095400012</v>
      </c>
      <c r="AM153" s="132">
        <f>SUM(AM$150:AM$151)*10%</f>
        <v>4634.8502605400008</v>
      </c>
      <c r="AN153" s="132">
        <f>SUM(AN$150:AN$151)*10%</f>
        <v>5098.9596490000004</v>
      </c>
      <c r="AO153" s="165" t="s">
        <v>56</v>
      </c>
    </row>
    <row r="154" spans="1:41" s="129" customFormat="1" x14ac:dyDescent="0.25">
      <c r="A154" s="131"/>
      <c r="B154" s="134">
        <v>432</v>
      </c>
      <c r="C154" s="134">
        <v>4000</v>
      </c>
      <c r="D154" s="134">
        <v>5200</v>
      </c>
      <c r="E154" s="134">
        <v>210</v>
      </c>
      <c r="F154" s="134" t="s">
        <v>45</v>
      </c>
      <c r="G154" s="103">
        <f>+H154+I154</f>
        <v>4519.6067999999996</v>
      </c>
      <c r="H154" s="103">
        <v>0</v>
      </c>
      <c r="I154" s="103">
        <f>+I152*11.91%</f>
        <v>4519.6067999999996</v>
      </c>
      <c r="J154" s="129" t="str">
        <f t="shared" ref="J154" si="466">IF(G154&gt;0.49,"*","")</f>
        <v>*</v>
      </c>
      <c r="L154" s="132">
        <f t="shared" ref="L154" si="467">IF(E154&lt;300,G154,0)</f>
        <v>4519.6067999999996</v>
      </c>
      <c r="M154" s="132">
        <f t="shared" ref="M154" si="468">IF(E154&gt;299,G154,0)</f>
        <v>0</v>
      </c>
      <c r="N154" s="130"/>
      <c r="O154" s="136"/>
      <c r="P154" s="136">
        <f t="shared" ref="P154" si="469">IF(B154=490,G154,0)</f>
        <v>0</v>
      </c>
      <c r="Q154" s="136">
        <f t="shared" ref="Q154" si="470">IF(B154=410,H154,0)</f>
        <v>0</v>
      </c>
      <c r="R154" s="136">
        <f t="shared" ref="R154" si="471">IF(B154=432,H154,0)</f>
        <v>0</v>
      </c>
      <c r="S154" s="136">
        <f t="shared" ref="S154" si="472">IF(B154=432,I154,0)</f>
        <v>4519.6067999999996</v>
      </c>
      <c r="T154" s="136">
        <f t="shared" ref="T154" si="473">IF($B154=435,H154,0)</f>
        <v>0</v>
      </c>
      <c r="U154" s="136">
        <f t="shared" ref="U154" si="474">IF($B154=435,I154,0)</f>
        <v>0</v>
      </c>
      <c r="V154" s="136">
        <f t="shared" ref="V154" si="475">IF(B154=360,I154,0)</f>
        <v>0</v>
      </c>
      <c r="W154" s="136">
        <f t="shared" ref="W154" si="476">IF(B154=410,I154,0)</f>
        <v>0</v>
      </c>
      <c r="X154" s="130">
        <f t="shared" ref="X154" si="477">+W154+Q154-O154</f>
        <v>0</v>
      </c>
      <c r="Z154" s="132">
        <f t="shared" ref="Z154" si="478">AA154+AB154</f>
        <v>9447.5400000000009</v>
      </c>
      <c r="AA154" s="132">
        <f>SUM(AA$150:AA$151)*10%</f>
        <v>4498.54</v>
      </c>
      <c r="AB154" s="132">
        <f>SUM(AB$150:AB$151)*10%</f>
        <v>4949</v>
      </c>
      <c r="AD154" s="103">
        <f t="shared" ref="AD154" si="479">AE154+AF154</f>
        <v>9542.0154000000002</v>
      </c>
      <c r="AE154" s="132">
        <f>SUM(AE$150:AE$151)*10%</f>
        <v>4543.5254000000004</v>
      </c>
      <c r="AF154" s="132">
        <f>SUM(AF$150:AF$151)*10%</f>
        <v>4998.4900000000007</v>
      </c>
      <c r="AH154" s="103">
        <f t="shared" ref="AH154" si="480">AI154+AJ154</f>
        <v>9637.4355540000015</v>
      </c>
      <c r="AI154" s="132">
        <f>SUM(AI$150:AI$151)*10%</f>
        <v>4588.9606540000004</v>
      </c>
      <c r="AJ154" s="132">
        <f>SUM(AJ$150:AJ$151)*10%</f>
        <v>5048.4749000000011</v>
      </c>
      <c r="AL154" s="103">
        <f t="shared" ref="AL154" si="481">AM154+AN154</f>
        <v>9733.8099095400012</v>
      </c>
      <c r="AM154" s="132">
        <f>SUM(AM$150:AM$151)*10%</f>
        <v>4634.8502605400008</v>
      </c>
      <c r="AN154" s="132">
        <f>SUM(AN$150:AN$151)*10%</f>
        <v>5098.9596490000004</v>
      </c>
      <c r="AO154" s="165" t="s">
        <v>56</v>
      </c>
    </row>
    <row r="155" spans="1:41" s="1" customFormat="1" x14ac:dyDescent="0.25">
      <c r="A155" s="131"/>
      <c r="B155" s="134">
        <v>100</v>
      </c>
      <c r="C155" s="134">
        <v>4000</v>
      </c>
      <c r="D155" s="134">
        <v>5200</v>
      </c>
      <c r="E155" s="134">
        <v>220</v>
      </c>
      <c r="F155" s="134" t="s">
        <v>47</v>
      </c>
      <c r="G155" s="132">
        <f>+'Payroll Input'!K82+'Payroll Input'!K90-G156</f>
        <v>7155.8099999999986</v>
      </c>
      <c r="H155" s="103">
        <f>+SUM('Payroll Input'!K77:K78)+SUM('Payroll Input'!K85:K86)</f>
        <v>3407.31</v>
      </c>
      <c r="I155" s="103">
        <f>+SUM('Payroll Input'!K$80:K$81)+SUM('Payroll Input'!K88:K89)-I156</f>
        <v>3748.5</v>
      </c>
      <c r="J155" s="129" t="str">
        <f t="shared" si="432"/>
        <v>*</v>
      </c>
      <c r="K155" s="129"/>
      <c r="L155" s="132">
        <f t="shared" si="194"/>
        <v>7155.8099999999986</v>
      </c>
      <c r="M155" s="132">
        <f t="shared" si="427"/>
        <v>0</v>
      </c>
      <c r="N155" s="130"/>
      <c r="O155" s="136"/>
      <c r="P155" s="136">
        <f t="shared" si="433"/>
        <v>0</v>
      </c>
      <c r="Q155" s="136">
        <f t="shared" si="428"/>
        <v>0</v>
      </c>
      <c r="R155" s="136">
        <f t="shared" si="429"/>
        <v>0</v>
      </c>
      <c r="S155" s="136">
        <f t="shared" si="161"/>
        <v>0</v>
      </c>
      <c r="T155" s="136">
        <f t="shared" si="443"/>
        <v>0</v>
      </c>
      <c r="U155" s="136">
        <f t="shared" si="443"/>
        <v>0</v>
      </c>
      <c r="V155" s="136">
        <f t="shared" si="430"/>
        <v>0</v>
      </c>
      <c r="W155" s="136">
        <f t="shared" si="431"/>
        <v>0</v>
      </c>
      <c r="X155" s="130">
        <f t="shared" si="305"/>
        <v>0</v>
      </c>
      <c r="Y155" s="129"/>
      <c r="Z155" s="132">
        <f t="shared" si="462"/>
        <v>7227.3680999999997</v>
      </c>
      <c r="AA155" s="132">
        <f>SUM(AA$150:AA$151)*7.65%</f>
        <v>3441.3831</v>
      </c>
      <c r="AB155" s="132">
        <f>SUM(AB$150:AB$151)*7.65%</f>
        <v>3785.9850000000001</v>
      </c>
      <c r="AC155" s="129"/>
      <c r="AD155" s="103">
        <f t="shared" si="463"/>
        <v>7299.6417810000003</v>
      </c>
      <c r="AE155" s="132">
        <f>SUM(AE$150:AE$151)*7.65%</f>
        <v>3475.7969309999999</v>
      </c>
      <c r="AF155" s="132">
        <f>SUM(AF$150:AF$151)*7.65%</f>
        <v>3823.84485</v>
      </c>
      <c r="AG155" s="129"/>
      <c r="AH155" s="103">
        <f t="shared" si="464"/>
        <v>7372.6381988100002</v>
      </c>
      <c r="AI155" s="132">
        <f>SUM(AI$150:AI$151)*7.65%</f>
        <v>3510.55490031</v>
      </c>
      <c r="AJ155" s="132">
        <f>SUM(AJ$150:AJ$151)*7.65%</f>
        <v>3862.0832985000002</v>
      </c>
      <c r="AK155" s="129"/>
      <c r="AL155" s="103">
        <f t="shared" si="465"/>
        <v>7446.3645807981011</v>
      </c>
      <c r="AM155" s="132">
        <f>SUM(AM$150:AM$151)*7.65%</f>
        <v>3545.6604493131003</v>
      </c>
      <c r="AN155" s="132">
        <f>SUM(AN$150:AN$151)*7.65%</f>
        <v>3900.7041314850003</v>
      </c>
      <c r="AO155" s="165" t="s">
        <v>57</v>
      </c>
    </row>
    <row r="156" spans="1:41" s="129" customFormat="1" x14ac:dyDescent="0.25">
      <c r="A156" s="131"/>
      <c r="B156" s="134">
        <v>432</v>
      </c>
      <c r="C156" s="134">
        <v>4000</v>
      </c>
      <c r="D156" s="134">
        <v>5200</v>
      </c>
      <c r="E156" s="134">
        <v>220</v>
      </c>
      <c r="F156" s="134" t="s">
        <v>47</v>
      </c>
      <c r="G156" s="103">
        <f>+H156+I156</f>
        <v>2903.0219999999999</v>
      </c>
      <c r="H156" s="103">
        <v>0</v>
      </c>
      <c r="I156" s="103">
        <f>+I152*7.65%</f>
        <v>2903.0219999999999</v>
      </c>
      <c r="J156" s="129" t="str">
        <f t="shared" ref="J156" si="482">IF(G156&gt;0.49,"*","")</f>
        <v>*</v>
      </c>
      <c r="L156" s="132">
        <f t="shared" ref="L156" si="483">IF(E156&lt;300,G156,0)</f>
        <v>2903.0219999999999</v>
      </c>
      <c r="M156" s="132">
        <f t="shared" ref="M156" si="484">IF(E156&gt;299,G156,0)</f>
        <v>0</v>
      </c>
      <c r="N156" s="130"/>
      <c r="O156" s="136"/>
      <c r="P156" s="136">
        <f t="shared" ref="P156" si="485">IF(B156=490,G156,0)</f>
        <v>0</v>
      </c>
      <c r="Q156" s="136">
        <f t="shared" ref="Q156" si="486">IF(B156=410,H156,0)</f>
        <v>0</v>
      </c>
      <c r="R156" s="136">
        <f t="shared" ref="R156" si="487">IF(B156=432,H156,0)</f>
        <v>0</v>
      </c>
      <c r="S156" s="136">
        <f t="shared" ref="S156" si="488">IF(B156=432,I156,0)</f>
        <v>2903.0219999999999</v>
      </c>
      <c r="T156" s="136">
        <f t="shared" ref="T156" si="489">IF($B156=435,H156,0)</f>
        <v>0</v>
      </c>
      <c r="U156" s="136">
        <f t="shared" ref="U156" si="490">IF($B156=435,I156,0)</f>
        <v>0</v>
      </c>
      <c r="V156" s="136">
        <f t="shared" ref="V156" si="491">IF(B156=360,I156,0)</f>
        <v>0</v>
      </c>
      <c r="W156" s="136">
        <f t="shared" ref="W156" si="492">IF(B156=410,I156,0)</f>
        <v>0</v>
      </c>
      <c r="X156" s="130">
        <f t="shared" ref="X156" si="493">+W156+Q156-O156</f>
        <v>0</v>
      </c>
      <c r="Z156" s="132">
        <f t="shared" ref="Z156" si="494">AA156+AB156</f>
        <v>7227.3680999999997</v>
      </c>
      <c r="AA156" s="132">
        <f>SUM(AA$150:AA$151)*7.65%</f>
        <v>3441.3831</v>
      </c>
      <c r="AB156" s="132">
        <f>SUM(AB$150:AB$151)*7.65%</f>
        <v>3785.9850000000001</v>
      </c>
      <c r="AD156" s="103">
        <f t="shared" ref="AD156" si="495">AE156+AF156</f>
        <v>7299.6417810000003</v>
      </c>
      <c r="AE156" s="132">
        <f>SUM(AE$150:AE$151)*7.65%</f>
        <v>3475.7969309999999</v>
      </c>
      <c r="AF156" s="132">
        <f>SUM(AF$150:AF$151)*7.65%</f>
        <v>3823.84485</v>
      </c>
      <c r="AH156" s="103">
        <f t="shared" ref="AH156" si="496">AI156+AJ156</f>
        <v>7372.6381988100002</v>
      </c>
      <c r="AI156" s="132">
        <f>SUM(AI$150:AI$151)*7.65%</f>
        <v>3510.55490031</v>
      </c>
      <c r="AJ156" s="132">
        <f>SUM(AJ$150:AJ$151)*7.65%</f>
        <v>3862.0832985000002</v>
      </c>
      <c r="AL156" s="103">
        <f t="shared" ref="AL156" si="497">AM156+AN156</f>
        <v>7446.3645807981011</v>
      </c>
      <c r="AM156" s="132">
        <f>SUM(AM$150:AM$151)*7.65%</f>
        <v>3545.6604493131003</v>
      </c>
      <c r="AN156" s="132">
        <f>SUM(AN$150:AN$151)*7.65%</f>
        <v>3900.7041314850003</v>
      </c>
      <c r="AO156" s="165" t="s">
        <v>57</v>
      </c>
    </row>
    <row r="157" spans="1:41" s="1" customFormat="1" x14ac:dyDescent="0.25">
      <c r="A157" s="131"/>
      <c r="B157" s="134">
        <v>100</v>
      </c>
      <c r="C157" s="134">
        <v>4000</v>
      </c>
      <c r="D157" s="134">
        <v>5200</v>
      </c>
      <c r="E157" s="134">
        <v>230</v>
      </c>
      <c r="F157" s="134" t="s">
        <v>49</v>
      </c>
      <c r="G157" s="132">
        <f>+'Payroll Input'!L82+'Payroll Input'!L90-G158</f>
        <v>7248</v>
      </c>
      <c r="H157" s="103">
        <f>+SUM('Payroll Input'!L77:L78)+SUM('Payroll Input'!L85:L86)-H158</f>
        <v>0</v>
      </c>
      <c r="I157" s="103">
        <f>+SUM('Payroll Input'!L$80:L$81)+SUM('Payroll Input'!L88:L89)-I158</f>
        <v>7248</v>
      </c>
      <c r="J157" s="129" t="str">
        <f t="shared" si="432"/>
        <v>*</v>
      </c>
      <c r="K157" s="129"/>
      <c r="L157" s="132">
        <f t="shared" si="194"/>
        <v>7248</v>
      </c>
      <c r="M157" s="132">
        <f t="shared" si="427"/>
        <v>0</v>
      </c>
      <c r="N157" s="130"/>
      <c r="O157" s="136"/>
      <c r="P157" s="136">
        <f t="shared" si="433"/>
        <v>0</v>
      </c>
      <c r="Q157" s="136">
        <f t="shared" si="428"/>
        <v>0</v>
      </c>
      <c r="R157" s="136">
        <f t="shared" si="429"/>
        <v>0</v>
      </c>
      <c r="S157" s="136">
        <f t="shared" si="161"/>
        <v>0</v>
      </c>
      <c r="T157" s="136">
        <f t="shared" si="443"/>
        <v>0</v>
      </c>
      <c r="U157" s="136">
        <f t="shared" si="443"/>
        <v>0</v>
      </c>
      <c r="V157" s="136">
        <f t="shared" si="430"/>
        <v>0</v>
      </c>
      <c r="W157" s="136">
        <f t="shared" si="431"/>
        <v>0</v>
      </c>
      <c r="X157" s="130">
        <f t="shared" si="305"/>
        <v>0</v>
      </c>
      <c r="Y157" s="129"/>
      <c r="Z157" s="132">
        <f t="shared" si="462"/>
        <v>7320.4800000000005</v>
      </c>
      <c r="AA157" s="132">
        <f t="shared" ref="AA157:AB162" si="498">H157/SUM(H$150:H$151)*SUM(AA$150:AA$151)</f>
        <v>0</v>
      </c>
      <c r="AB157" s="132">
        <f t="shared" si="498"/>
        <v>7320.4800000000005</v>
      </c>
      <c r="AC157" s="129"/>
      <c r="AD157" s="103">
        <f t="shared" si="463"/>
        <v>7393.6848</v>
      </c>
      <c r="AE157" s="132">
        <f t="shared" ref="AE157:AF162" si="499">AA157/SUM(AA$150:AA$151)*SUM(AE$150:AE$151)</f>
        <v>0</v>
      </c>
      <c r="AF157" s="132">
        <f t="shared" si="499"/>
        <v>7393.6848</v>
      </c>
      <c r="AG157" s="129"/>
      <c r="AH157" s="103">
        <f t="shared" si="464"/>
        <v>7467.6216480000003</v>
      </c>
      <c r="AI157" s="132">
        <f t="shared" ref="AI157:AJ162" si="500">AE157/SUM(AE$150:AE$151)*SUM(AI$150:AI$151)</f>
        <v>0</v>
      </c>
      <c r="AJ157" s="132">
        <f t="shared" si="500"/>
        <v>7467.6216480000003</v>
      </c>
      <c r="AK157" s="129"/>
      <c r="AL157" s="103">
        <f t="shared" si="465"/>
        <v>7542.2978644800005</v>
      </c>
      <c r="AM157" s="132">
        <f t="shared" ref="AM157:AN162" si="501">AI157/SUM(AI$150:AI$151)*SUM(AM$150:AM$151)</f>
        <v>0</v>
      </c>
      <c r="AN157" s="132">
        <f t="shared" si="501"/>
        <v>7542.2978644800005</v>
      </c>
      <c r="AO157" s="165" t="s">
        <v>50</v>
      </c>
    </row>
    <row r="158" spans="1:41" s="129" customFormat="1" hidden="1" x14ac:dyDescent="0.25">
      <c r="A158" s="131"/>
      <c r="B158" s="134">
        <v>432</v>
      </c>
      <c r="C158" s="134">
        <v>4000</v>
      </c>
      <c r="D158" s="134">
        <v>5200</v>
      </c>
      <c r="E158" s="134">
        <v>230</v>
      </c>
      <c r="F158" s="134" t="s">
        <v>49</v>
      </c>
      <c r="G158" s="103">
        <f>+H158+I158</f>
        <v>0</v>
      </c>
      <c r="H158" s="132">
        <v>0</v>
      </c>
      <c r="I158" s="264">
        <v>0</v>
      </c>
      <c r="J158" s="129" t="str">
        <f t="shared" ref="J158" si="502">IF(G158&gt;0.49,"*","")</f>
        <v/>
      </c>
      <c r="L158" s="132">
        <f t="shared" ref="L158" si="503">IF(E158&lt;300,G158,0)</f>
        <v>0</v>
      </c>
      <c r="M158" s="132">
        <f t="shared" ref="M158" si="504">IF(E158&gt;299,G158,0)</f>
        <v>0</v>
      </c>
      <c r="N158" s="130"/>
      <c r="O158" s="136"/>
      <c r="P158" s="136">
        <f t="shared" ref="P158" si="505">IF(B158=490,G158,0)</f>
        <v>0</v>
      </c>
      <c r="Q158" s="136">
        <f t="shared" ref="Q158" si="506">IF(B158=410,H158,0)</f>
        <v>0</v>
      </c>
      <c r="R158" s="136">
        <f t="shared" ref="R158" si="507">IF(B158=432,H158,0)</f>
        <v>0</v>
      </c>
      <c r="S158" s="136">
        <f t="shared" ref="S158" si="508">IF(B158=432,I158,0)</f>
        <v>0</v>
      </c>
      <c r="T158" s="136">
        <f t="shared" ref="T158" si="509">IF($B158=435,H158,0)</f>
        <v>0</v>
      </c>
      <c r="U158" s="136">
        <f t="shared" ref="U158" si="510">IF($B158=435,I158,0)</f>
        <v>0</v>
      </c>
      <c r="V158" s="136">
        <f t="shared" ref="V158" si="511">IF(B158=360,I158,0)</f>
        <v>0</v>
      </c>
      <c r="W158" s="136">
        <f t="shared" ref="W158" si="512">IF(B158=410,I158,0)</f>
        <v>0</v>
      </c>
      <c r="X158" s="130">
        <f t="shared" ref="X158" si="513">+W158+Q158-O158</f>
        <v>0</v>
      </c>
      <c r="Z158" s="132">
        <f t="shared" ref="Z158" si="514">AA158+AB158</f>
        <v>0</v>
      </c>
      <c r="AA158" s="132">
        <f t="shared" ref="AA158" si="515">H158/SUM(H$150:H$151)*SUM(AA$150:AA$151)</f>
        <v>0</v>
      </c>
      <c r="AB158" s="132">
        <f t="shared" ref="AB158" si="516">I158/SUM(I$150:I$151)*SUM(AB$150:AB$151)</f>
        <v>0</v>
      </c>
      <c r="AD158" s="103">
        <f t="shared" ref="AD158" si="517">AE158+AF158</f>
        <v>0</v>
      </c>
      <c r="AE158" s="132">
        <f t="shared" ref="AE158" si="518">AA158/SUM(AA$150:AA$151)*SUM(AE$150:AE$151)</f>
        <v>0</v>
      </c>
      <c r="AF158" s="132">
        <f t="shared" ref="AF158" si="519">AB158/SUM(AB$150:AB$151)*SUM(AF$150:AF$151)</f>
        <v>0</v>
      </c>
      <c r="AH158" s="103">
        <f t="shared" ref="AH158" si="520">AI158+AJ158</f>
        <v>0</v>
      </c>
      <c r="AI158" s="132">
        <f t="shared" ref="AI158" si="521">AE158/SUM(AE$150:AE$151)*SUM(AI$150:AI$151)</f>
        <v>0</v>
      </c>
      <c r="AJ158" s="132">
        <f t="shared" ref="AJ158" si="522">AF158/SUM(AF$150:AF$151)*SUM(AJ$150:AJ$151)</f>
        <v>0</v>
      </c>
      <c r="AL158" s="103">
        <f t="shared" ref="AL158" si="523">AM158+AN158</f>
        <v>0</v>
      </c>
      <c r="AM158" s="132">
        <f t="shared" ref="AM158" si="524">AI158/SUM(AI$150:AI$151)*SUM(AM$150:AM$151)</f>
        <v>0</v>
      </c>
      <c r="AN158" s="132">
        <f t="shared" ref="AN158" si="525">AJ158/SUM(AJ$150:AJ$151)*SUM(AN$150:AN$151)</f>
        <v>0</v>
      </c>
      <c r="AO158" s="165" t="s">
        <v>50</v>
      </c>
    </row>
    <row r="159" spans="1:41" s="1" customFormat="1" hidden="1" x14ac:dyDescent="0.25">
      <c r="A159" s="131"/>
      <c r="B159" s="134">
        <v>100</v>
      </c>
      <c r="C159" s="134">
        <v>4000</v>
      </c>
      <c r="D159" s="134">
        <v>5200</v>
      </c>
      <c r="E159" s="134">
        <v>240</v>
      </c>
      <c r="F159" s="134" t="s">
        <v>51</v>
      </c>
      <c r="G159" s="132">
        <f>+'Payroll Input'!N82+'Payroll Input'!N90-G160</f>
        <v>-3.8215999999999894</v>
      </c>
      <c r="H159" s="132">
        <f>+SUM('Payroll Input'!N77:N78)+SUM('Payroll Input'!N85:N86)</f>
        <v>191.52199999999999</v>
      </c>
      <c r="I159" s="132">
        <f>+SUM('Payroll Input'!N$80:N$81)+SUM('Payroll Input'!N88:N89)-I160</f>
        <v>-195.34360000000004</v>
      </c>
      <c r="J159" s="129" t="str">
        <f t="shared" si="432"/>
        <v/>
      </c>
      <c r="K159" s="129"/>
      <c r="L159" s="132">
        <f t="shared" si="194"/>
        <v>-3.8215999999999894</v>
      </c>
      <c r="M159" s="132">
        <f t="shared" si="427"/>
        <v>0</v>
      </c>
      <c r="N159" s="130"/>
      <c r="O159" s="136"/>
      <c r="P159" s="136">
        <f t="shared" si="433"/>
        <v>0</v>
      </c>
      <c r="Q159" s="136">
        <f t="shared" si="428"/>
        <v>0</v>
      </c>
      <c r="R159" s="136">
        <f t="shared" si="429"/>
        <v>0</v>
      </c>
      <c r="S159" s="136">
        <f t="shared" si="161"/>
        <v>0</v>
      </c>
      <c r="T159" s="136">
        <f t="shared" si="443"/>
        <v>0</v>
      </c>
      <c r="U159" s="136">
        <f t="shared" si="443"/>
        <v>0</v>
      </c>
      <c r="V159" s="136">
        <f t="shared" si="430"/>
        <v>0</v>
      </c>
      <c r="W159" s="136">
        <f t="shared" si="431"/>
        <v>0</v>
      </c>
      <c r="X159" s="130">
        <f t="shared" si="305"/>
        <v>0</v>
      </c>
      <c r="Y159" s="129"/>
      <c r="Z159" s="132">
        <f t="shared" si="462"/>
        <v>-3.8598160000000519</v>
      </c>
      <c r="AA159" s="132">
        <f t="shared" si="498"/>
        <v>193.43722</v>
      </c>
      <c r="AB159" s="132">
        <f t="shared" si="498"/>
        <v>-197.29703600000005</v>
      </c>
      <c r="AC159" s="129"/>
      <c r="AD159" s="103">
        <f t="shared" si="463"/>
        <v>-3.8984141600000441</v>
      </c>
      <c r="AE159" s="132">
        <f t="shared" si="499"/>
        <v>195.37159220000001</v>
      </c>
      <c r="AF159" s="132">
        <f t="shared" si="499"/>
        <v>-199.27000636000005</v>
      </c>
      <c r="AG159" s="129"/>
      <c r="AH159" s="103">
        <f t="shared" si="464"/>
        <v>-3.9373983016000693</v>
      </c>
      <c r="AI159" s="132">
        <f t="shared" si="500"/>
        <v>197.325308122</v>
      </c>
      <c r="AJ159" s="132">
        <f t="shared" si="500"/>
        <v>-201.26270642360006</v>
      </c>
      <c r="AK159" s="129"/>
      <c r="AL159" s="103">
        <f t="shared" si="465"/>
        <v>-3.9767722846160325</v>
      </c>
      <c r="AM159" s="132">
        <f t="shared" si="501"/>
        <v>199.29856120322003</v>
      </c>
      <c r="AN159" s="132">
        <f t="shared" si="501"/>
        <v>-203.27533348783606</v>
      </c>
      <c r="AO159" s="165" t="s">
        <v>50</v>
      </c>
    </row>
    <row r="160" spans="1:41" s="129" customFormat="1" x14ac:dyDescent="0.25">
      <c r="A160" s="131"/>
      <c r="B160" s="134">
        <v>432</v>
      </c>
      <c r="C160" s="134">
        <v>4000</v>
      </c>
      <c r="D160" s="134">
        <v>5200</v>
      </c>
      <c r="E160" s="134">
        <v>240</v>
      </c>
      <c r="F160" s="134" t="s">
        <v>51</v>
      </c>
      <c r="G160" s="103">
        <f>+H160+I160</f>
        <v>569.22</v>
      </c>
      <c r="H160" s="103">
        <v>0</v>
      </c>
      <c r="I160" s="103">
        <f>+I152*1.5%</f>
        <v>569.22</v>
      </c>
      <c r="J160" s="129" t="str">
        <f t="shared" ref="J160:J161" si="526">IF(G160&gt;0.49,"*","")</f>
        <v>*</v>
      </c>
      <c r="L160" s="132">
        <f t="shared" ref="L160:L161" si="527">IF(E160&lt;300,G160,0)</f>
        <v>569.22</v>
      </c>
      <c r="M160" s="132">
        <f t="shared" ref="M160:M161" si="528">IF(E160&gt;299,G160,0)</f>
        <v>0</v>
      </c>
      <c r="N160" s="130"/>
      <c r="O160" s="136"/>
      <c r="P160" s="136">
        <f t="shared" ref="P160:P161" si="529">IF(B160=490,G160,0)</f>
        <v>0</v>
      </c>
      <c r="Q160" s="136">
        <f t="shared" ref="Q160:Q161" si="530">IF(B160=410,H160,0)</f>
        <v>0</v>
      </c>
      <c r="R160" s="136">
        <f t="shared" ref="R160:R161" si="531">IF(B160=432,H160,0)</f>
        <v>0</v>
      </c>
      <c r="S160" s="136">
        <f t="shared" ref="S160:S161" si="532">IF(B160=432,I160,0)</f>
        <v>569.22</v>
      </c>
      <c r="T160" s="136">
        <f t="shared" ref="T160:T161" si="533">IF($B160=435,H160,0)</f>
        <v>0</v>
      </c>
      <c r="U160" s="136">
        <f t="shared" ref="U160:U161" si="534">IF($B160=435,I160,0)</f>
        <v>0</v>
      </c>
      <c r="V160" s="136">
        <f t="shared" ref="V160:V161" si="535">IF(B160=360,I160,0)</f>
        <v>0</v>
      </c>
      <c r="W160" s="136">
        <f t="shared" ref="W160:W161" si="536">IF(B160=410,I160,0)</f>
        <v>0</v>
      </c>
      <c r="X160" s="130">
        <f t="shared" ref="X160:X161" si="537">+W160+Q160-O160</f>
        <v>0</v>
      </c>
      <c r="Z160" s="132">
        <f t="shared" ref="Z160:Z161" si="538">AA160+AB160</f>
        <v>574.91219999999998</v>
      </c>
      <c r="AA160" s="132">
        <f t="shared" si="498"/>
        <v>0</v>
      </c>
      <c r="AB160" s="132">
        <f t="shared" si="498"/>
        <v>574.91219999999998</v>
      </c>
      <c r="AD160" s="103">
        <f t="shared" ref="AD160:AD161" si="539">AE160+AF160</f>
        <v>580.66132200000004</v>
      </c>
      <c r="AE160" s="132">
        <f t="shared" si="499"/>
        <v>0</v>
      </c>
      <c r="AF160" s="132">
        <f t="shared" si="499"/>
        <v>580.66132200000004</v>
      </c>
      <c r="AH160" s="103">
        <f t="shared" ref="AH160:AH161" si="540">AI160+AJ160</f>
        <v>586.46793522000007</v>
      </c>
      <c r="AI160" s="132">
        <f t="shared" si="500"/>
        <v>0</v>
      </c>
      <c r="AJ160" s="132">
        <f t="shared" si="500"/>
        <v>586.46793522000007</v>
      </c>
      <c r="AL160" s="103">
        <f t="shared" ref="AL160:AL161" si="541">AM160+AN160</f>
        <v>592.33261457219999</v>
      </c>
      <c r="AM160" s="132">
        <f t="shared" si="501"/>
        <v>0</v>
      </c>
      <c r="AN160" s="132">
        <f t="shared" si="501"/>
        <v>592.33261457219999</v>
      </c>
      <c r="AO160" s="165" t="s">
        <v>50</v>
      </c>
    </row>
    <row r="161" spans="1:41" s="129" customFormat="1" x14ac:dyDescent="0.25">
      <c r="A161" s="131"/>
      <c r="B161" s="134">
        <v>100</v>
      </c>
      <c r="C161" s="134">
        <v>4000</v>
      </c>
      <c r="D161" s="134">
        <v>5200</v>
      </c>
      <c r="E161" s="134">
        <v>250</v>
      </c>
      <c r="F161" s="134" t="s">
        <v>52</v>
      </c>
      <c r="G161" s="132">
        <f>+'Payroll Input'!O82+'Payroll Input'!O90-G162</f>
        <v>84</v>
      </c>
      <c r="H161" s="103">
        <f>+SUM('Payroll Input'!O76:O77)+SUM('Payroll Input'!O84:O85)</f>
        <v>21</v>
      </c>
      <c r="I161" s="103">
        <f>+SUM('Payroll Input'!O$80:O$81)+SUM('Payroll Input'!O87:O89)-I162</f>
        <v>63</v>
      </c>
      <c r="J161" s="129" t="str">
        <f t="shared" si="526"/>
        <v>*</v>
      </c>
      <c r="L161" s="132">
        <f t="shared" si="527"/>
        <v>84</v>
      </c>
      <c r="M161" s="132">
        <f t="shared" si="528"/>
        <v>0</v>
      </c>
      <c r="N161" s="130"/>
      <c r="O161" s="136"/>
      <c r="P161" s="136">
        <f t="shared" si="529"/>
        <v>0</v>
      </c>
      <c r="Q161" s="136">
        <f t="shared" si="530"/>
        <v>0</v>
      </c>
      <c r="R161" s="136">
        <f t="shared" si="531"/>
        <v>0</v>
      </c>
      <c r="S161" s="136">
        <f t="shared" si="532"/>
        <v>0</v>
      </c>
      <c r="T161" s="136">
        <f t="shared" si="533"/>
        <v>0</v>
      </c>
      <c r="U161" s="136">
        <f t="shared" si="534"/>
        <v>0</v>
      </c>
      <c r="V161" s="136">
        <f t="shared" si="535"/>
        <v>0</v>
      </c>
      <c r="W161" s="136">
        <f t="shared" si="536"/>
        <v>0</v>
      </c>
      <c r="X161" s="130">
        <f t="shared" si="537"/>
        <v>0</v>
      </c>
      <c r="Z161" s="132">
        <f t="shared" si="538"/>
        <v>84.84</v>
      </c>
      <c r="AA161" s="132">
        <f t="shared" si="498"/>
        <v>21.21</v>
      </c>
      <c r="AB161" s="132">
        <f t="shared" si="498"/>
        <v>63.629999999999995</v>
      </c>
      <c r="AD161" s="103">
        <f t="shared" si="539"/>
        <v>85.688400000000001</v>
      </c>
      <c r="AE161" s="132">
        <f t="shared" si="499"/>
        <v>21.4221</v>
      </c>
      <c r="AF161" s="132">
        <f t="shared" si="499"/>
        <v>64.266300000000001</v>
      </c>
      <c r="AH161" s="103">
        <f t="shared" si="540"/>
        <v>86.545283999999995</v>
      </c>
      <c r="AI161" s="132">
        <f t="shared" si="500"/>
        <v>21.636320999999999</v>
      </c>
      <c r="AJ161" s="132">
        <f t="shared" si="500"/>
        <v>64.908963</v>
      </c>
      <c r="AL161" s="103">
        <f t="shared" si="541"/>
        <v>87.410736840000013</v>
      </c>
      <c r="AM161" s="132">
        <f t="shared" si="501"/>
        <v>21.852684210000003</v>
      </c>
      <c r="AN161" s="132">
        <f t="shared" si="501"/>
        <v>65.558052630000006</v>
      </c>
      <c r="AO161" s="165" t="s">
        <v>50</v>
      </c>
    </row>
    <row r="162" spans="1:41" s="1" customFormat="1" hidden="1" x14ac:dyDescent="0.25">
      <c r="A162" s="131"/>
      <c r="B162" s="134">
        <v>432</v>
      </c>
      <c r="C162" s="134">
        <v>4000</v>
      </c>
      <c r="D162" s="134">
        <v>5200</v>
      </c>
      <c r="E162" s="134">
        <v>250</v>
      </c>
      <c r="F162" s="134" t="s">
        <v>52</v>
      </c>
      <c r="G162" s="103">
        <f>+H162+I162</f>
        <v>0</v>
      </c>
      <c r="H162" s="132">
        <v>0</v>
      </c>
      <c r="I162" s="132">
        <v>0</v>
      </c>
      <c r="J162" s="129" t="str">
        <f t="shared" si="432"/>
        <v/>
      </c>
      <c r="K162" s="129"/>
      <c r="L162" s="132">
        <f t="shared" si="194"/>
        <v>0</v>
      </c>
      <c r="M162" s="132">
        <f t="shared" si="427"/>
        <v>0</v>
      </c>
      <c r="N162" s="130"/>
      <c r="O162" s="136"/>
      <c r="P162" s="136">
        <f t="shared" si="433"/>
        <v>0</v>
      </c>
      <c r="Q162" s="136">
        <f t="shared" si="428"/>
        <v>0</v>
      </c>
      <c r="R162" s="136">
        <f t="shared" si="429"/>
        <v>0</v>
      </c>
      <c r="S162" s="136">
        <f t="shared" si="161"/>
        <v>0</v>
      </c>
      <c r="T162" s="136">
        <f t="shared" si="443"/>
        <v>0</v>
      </c>
      <c r="U162" s="136">
        <f t="shared" si="443"/>
        <v>0</v>
      </c>
      <c r="V162" s="136">
        <f t="shared" si="430"/>
        <v>0</v>
      </c>
      <c r="W162" s="136">
        <f t="shared" si="431"/>
        <v>0</v>
      </c>
      <c r="X162" s="130">
        <f t="shared" si="305"/>
        <v>0</v>
      </c>
      <c r="Y162" s="129"/>
      <c r="Z162" s="132">
        <f t="shared" si="462"/>
        <v>0</v>
      </c>
      <c r="AA162" s="132">
        <f t="shared" si="498"/>
        <v>0</v>
      </c>
      <c r="AB162" s="132">
        <f t="shared" si="498"/>
        <v>0</v>
      </c>
      <c r="AC162" s="129"/>
      <c r="AD162" s="103">
        <f t="shared" si="463"/>
        <v>0</v>
      </c>
      <c r="AE162" s="132">
        <f t="shared" si="499"/>
        <v>0</v>
      </c>
      <c r="AF162" s="132">
        <f t="shared" si="499"/>
        <v>0</v>
      </c>
      <c r="AG162" s="129"/>
      <c r="AH162" s="103">
        <f t="shared" si="464"/>
        <v>0</v>
      </c>
      <c r="AI162" s="132">
        <f t="shared" si="500"/>
        <v>0</v>
      </c>
      <c r="AJ162" s="132">
        <f t="shared" si="500"/>
        <v>0</v>
      </c>
      <c r="AK162" s="129"/>
      <c r="AL162" s="103">
        <f t="shared" si="465"/>
        <v>0</v>
      </c>
      <c r="AM162" s="132">
        <f t="shared" si="501"/>
        <v>0</v>
      </c>
      <c r="AN162" s="132">
        <f t="shared" si="501"/>
        <v>0</v>
      </c>
      <c r="AO162" s="165" t="s">
        <v>50</v>
      </c>
    </row>
    <row r="163" spans="1:41" s="1" customFormat="1" ht="13.2" hidden="1" customHeight="1" x14ac:dyDescent="0.25">
      <c r="A163" s="131"/>
      <c r="B163" s="134"/>
      <c r="C163" s="134"/>
      <c r="D163" s="134"/>
      <c r="E163" s="134"/>
      <c r="F163" s="134"/>
      <c r="G163" s="136"/>
      <c r="H163" s="136"/>
      <c r="I163" s="136"/>
      <c r="J163" s="129"/>
      <c r="K163" s="129"/>
      <c r="L163" s="132">
        <f t="shared" si="194"/>
        <v>0</v>
      </c>
      <c r="M163" s="132">
        <f t="shared" si="427"/>
        <v>0</v>
      </c>
      <c r="N163" s="130"/>
      <c r="O163" s="136"/>
      <c r="P163" s="136">
        <f t="shared" si="433"/>
        <v>0</v>
      </c>
      <c r="Q163" s="136">
        <f t="shared" si="428"/>
        <v>0</v>
      </c>
      <c r="R163" s="136">
        <f t="shared" si="429"/>
        <v>0</v>
      </c>
      <c r="S163" s="136">
        <f t="shared" si="161"/>
        <v>0</v>
      </c>
      <c r="T163" s="136">
        <f t="shared" si="443"/>
        <v>0</v>
      </c>
      <c r="U163" s="136">
        <f t="shared" si="443"/>
        <v>0</v>
      </c>
      <c r="V163" s="136">
        <f t="shared" si="430"/>
        <v>0</v>
      </c>
      <c r="W163" s="136">
        <f t="shared" si="431"/>
        <v>0</v>
      </c>
      <c r="X163" s="130">
        <f t="shared" si="305"/>
        <v>0</v>
      </c>
      <c r="Y163" s="129"/>
      <c r="Z163" s="132"/>
      <c r="AA163" s="132"/>
      <c r="AB163" s="132"/>
      <c r="AC163" s="129"/>
      <c r="AD163" s="136"/>
      <c r="AE163" s="136"/>
      <c r="AF163" s="136"/>
      <c r="AG163" s="129"/>
      <c r="AH163" s="136"/>
      <c r="AI163" s="136"/>
      <c r="AJ163" s="136"/>
      <c r="AK163" s="129"/>
      <c r="AL163" s="136"/>
      <c r="AM163" s="136"/>
      <c r="AN163" s="136"/>
      <c r="AO163" s="165"/>
    </row>
    <row r="164" spans="1:41" s="1" customFormat="1" ht="13.5" hidden="1" customHeight="1" x14ac:dyDescent="0.25">
      <c r="A164" s="131"/>
      <c r="B164" s="134"/>
      <c r="C164" s="134"/>
      <c r="D164" s="134"/>
      <c r="E164" s="134"/>
      <c r="F164" s="134"/>
      <c r="G164" s="136"/>
      <c r="H164" s="136"/>
      <c r="I164" s="136"/>
      <c r="J164" s="129"/>
      <c r="K164" s="129"/>
      <c r="L164" s="132">
        <f t="shared" si="194"/>
        <v>0</v>
      </c>
      <c r="M164" s="132">
        <f t="shared" si="427"/>
        <v>0</v>
      </c>
      <c r="N164" s="130"/>
      <c r="O164" s="136"/>
      <c r="P164" s="136">
        <f t="shared" si="433"/>
        <v>0</v>
      </c>
      <c r="Q164" s="136">
        <f t="shared" si="428"/>
        <v>0</v>
      </c>
      <c r="R164" s="136">
        <f t="shared" si="429"/>
        <v>0</v>
      </c>
      <c r="S164" s="136">
        <f t="shared" si="161"/>
        <v>0</v>
      </c>
      <c r="T164" s="136">
        <f t="shared" si="443"/>
        <v>0</v>
      </c>
      <c r="U164" s="136">
        <f t="shared" si="443"/>
        <v>0</v>
      </c>
      <c r="V164" s="136">
        <f t="shared" si="430"/>
        <v>0</v>
      </c>
      <c r="W164" s="136">
        <f t="shared" si="431"/>
        <v>0</v>
      </c>
      <c r="X164" s="130">
        <f t="shared" si="305"/>
        <v>0</v>
      </c>
      <c r="Y164" s="129"/>
      <c r="Z164" s="136"/>
      <c r="AA164" s="136"/>
      <c r="AB164" s="136"/>
      <c r="AC164" s="129"/>
      <c r="AD164" s="136"/>
      <c r="AE164" s="136"/>
      <c r="AF164" s="136"/>
      <c r="AG164" s="129"/>
      <c r="AH164" s="136"/>
      <c r="AI164" s="136"/>
      <c r="AJ164" s="136"/>
      <c r="AK164" s="129"/>
      <c r="AL164" s="136"/>
      <c r="AM164" s="136"/>
      <c r="AN164" s="136"/>
      <c r="AO164" s="165"/>
    </row>
    <row r="165" spans="1:41" x14ac:dyDescent="0.25">
      <c r="A165" s="131"/>
      <c r="B165" s="63">
        <f>+'Expense Input'!B45</f>
        <v>100</v>
      </c>
      <c r="C165" s="63">
        <f>+'Expense Input'!C45</f>
        <v>4000</v>
      </c>
      <c r="D165" s="63">
        <f>+'Expense Input'!D45</f>
        <v>5200</v>
      </c>
      <c r="E165" s="63">
        <f>+'Expense Input'!E45</f>
        <v>310</v>
      </c>
      <c r="F165" s="63" t="str">
        <f>+'Expense Input'!F45</f>
        <v>Contracted Services</v>
      </c>
      <c r="G165" s="64">
        <f>+'Expense Input'!Q45</f>
        <v>60000</v>
      </c>
      <c r="H165" s="140">
        <f>+'Expense Input'!R45</f>
        <v>33000</v>
      </c>
      <c r="I165" s="140">
        <f>+'Expense Input'!S45</f>
        <v>27000</v>
      </c>
      <c r="J165" s="129" t="str">
        <f t="shared" ref="J165" si="542">IF(G165&gt;0.49,"*","")</f>
        <v>*</v>
      </c>
      <c r="L165" s="132">
        <f t="shared" si="194"/>
        <v>0</v>
      </c>
      <c r="M165" s="132">
        <f t="shared" si="427"/>
        <v>60000</v>
      </c>
      <c r="N165" s="130"/>
      <c r="O165" s="136"/>
      <c r="P165" s="136">
        <f t="shared" si="433"/>
        <v>0</v>
      </c>
      <c r="Q165" s="136">
        <f t="shared" si="428"/>
        <v>0</v>
      </c>
      <c r="R165" s="136">
        <f t="shared" si="429"/>
        <v>0</v>
      </c>
      <c r="S165" s="136">
        <f t="shared" si="161"/>
        <v>0</v>
      </c>
      <c r="T165" s="136">
        <f t="shared" si="443"/>
        <v>0</v>
      </c>
      <c r="U165" s="136">
        <f t="shared" si="443"/>
        <v>0</v>
      </c>
      <c r="V165" s="136">
        <f t="shared" si="430"/>
        <v>0</v>
      </c>
      <c r="W165" s="136">
        <f t="shared" si="431"/>
        <v>0</v>
      </c>
      <c r="X165" s="130">
        <f t="shared" si="305"/>
        <v>0</v>
      </c>
      <c r="Z165" s="103">
        <f t="shared" ref="Z165:Z166" si="543">AA165+AB165</f>
        <v>74641.195652173919</v>
      </c>
      <c r="AA165" s="103">
        <f>+H165/H$11*AA$11*Inf</f>
        <v>36107.5</v>
      </c>
      <c r="AB165" s="103">
        <f>+I165/I$11*AB$11*Inf</f>
        <v>38533.695652173912</v>
      </c>
      <c r="AD165" s="103">
        <f t="shared" ref="AD165:AD166" si="544">AE165+AF165</f>
        <v>75387.607608695645</v>
      </c>
      <c r="AE165" s="103">
        <f>+AA165/AA$11*AE$11*Inf</f>
        <v>36468.574999999997</v>
      </c>
      <c r="AF165" s="103">
        <f>+AB165/AB$11*AF$11*Inf</f>
        <v>38919.032608695648</v>
      </c>
      <c r="AH165" s="103">
        <f t="shared" ref="AH165:AH166" si="545">AI165+AJ165</f>
        <v>81998.520891304332</v>
      </c>
      <c r="AI165" s="103">
        <f>+AE165/AE$11*AI$11*Inf</f>
        <v>39666.588499999991</v>
      </c>
      <c r="AJ165" s="103">
        <f>+AF165/AF$11*AJ$11*Inf</f>
        <v>42331.932391304348</v>
      </c>
      <c r="AL165" s="103">
        <f t="shared" ref="AL165:AL166" si="546">AM165+AN165</f>
        <v>82818.506100217375</v>
      </c>
      <c r="AM165" s="103">
        <f>+AI165/AI$11*AM$11*Inf</f>
        <v>40063.254384999993</v>
      </c>
      <c r="AN165" s="103">
        <f>+AJ165/AJ$11*AN$11*Inf</f>
        <v>42755.25171521739</v>
      </c>
      <c r="AO165" s="165" t="s">
        <v>42</v>
      </c>
    </row>
    <row r="166" spans="1:41" s="1" customFormat="1" ht="13.2" customHeight="1" x14ac:dyDescent="0.25">
      <c r="A166" s="131"/>
      <c r="B166" s="63">
        <f>+'Expense Input'!B46</f>
        <v>100</v>
      </c>
      <c r="C166" s="63">
        <f>+'Expense Input'!C46</f>
        <v>4000</v>
      </c>
      <c r="D166" s="63">
        <f>+'Expense Input'!D46</f>
        <v>5200</v>
      </c>
      <c r="E166" s="63">
        <f>+'Expense Input'!E46</f>
        <v>510</v>
      </c>
      <c r="F166" s="63" t="str">
        <f>+'Expense Input'!F46</f>
        <v>Instructional Materials</v>
      </c>
      <c r="G166" s="64">
        <f>+'Expense Input'!Q46</f>
        <v>148.51558428885096</v>
      </c>
      <c r="H166" s="140">
        <f>+'Expense Input'!R46</f>
        <v>0</v>
      </c>
      <c r="I166" s="140">
        <f>+'Expense Input'!S46</f>
        <v>148.51558428885096</v>
      </c>
      <c r="J166" s="129" t="str">
        <f t="shared" ref="J166" si="547">IF(G166&gt;0.49,"*","")</f>
        <v>*</v>
      </c>
      <c r="K166" s="129"/>
      <c r="L166" s="132">
        <f t="shared" si="194"/>
        <v>0</v>
      </c>
      <c r="M166" s="132">
        <f t="shared" si="427"/>
        <v>148.51558428885096</v>
      </c>
      <c r="N166" s="130"/>
      <c r="O166" s="136"/>
      <c r="P166" s="136">
        <f t="shared" si="433"/>
        <v>0</v>
      </c>
      <c r="Q166" s="136">
        <f t="shared" si="428"/>
        <v>0</v>
      </c>
      <c r="R166" s="136">
        <f t="shared" si="429"/>
        <v>0</v>
      </c>
      <c r="S166" s="136">
        <f t="shared" si="161"/>
        <v>0</v>
      </c>
      <c r="T166" s="136">
        <f t="shared" si="443"/>
        <v>0</v>
      </c>
      <c r="U166" s="136">
        <f t="shared" si="443"/>
        <v>0</v>
      </c>
      <c r="V166" s="136">
        <f t="shared" si="430"/>
        <v>0</v>
      </c>
      <c r="W166" s="136">
        <f t="shared" si="431"/>
        <v>0</v>
      </c>
      <c r="X166" s="130">
        <f t="shared" si="305"/>
        <v>0</v>
      </c>
      <c r="Y166" s="129"/>
      <c r="Z166" s="103">
        <f t="shared" si="543"/>
        <v>211.95756757745795</v>
      </c>
      <c r="AA166" s="103">
        <f>+H166/H$11*AA$11*Inf</f>
        <v>0</v>
      </c>
      <c r="AB166" s="103">
        <f>+I166/I$11*AB$11*Inf</f>
        <v>211.95756757745795</v>
      </c>
      <c r="AC166" s="77"/>
      <c r="AD166" s="103">
        <f t="shared" si="544"/>
        <v>214.07714325323252</v>
      </c>
      <c r="AE166" s="103">
        <f>+AA166/AA$11*AE$11*Inf</f>
        <v>0</v>
      </c>
      <c r="AF166" s="103">
        <f>+AB166/AB$11*AF$11*Inf</f>
        <v>214.07714325323252</v>
      </c>
      <c r="AG166" s="77"/>
      <c r="AH166" s="103">
        <f t="shared" si="545"/>
        <v>232.85006196928524</v>
      </c>
      <c r="AI166" s="103">
        <f>+AE166/AE$11*AI$11*Inf</f>
        <v>0</v>
      </c>
      <c r="AJ166" s="103">
        <f>+AF166/AF$11*AJ$11*Inf</f>
        <v>232.85006196928524</v>
      </c>
      <c r="AK166" s="77"/>
      <c r="AL166" s="103">
        <f t="shared" si="546"/>
        <v>235.17856258897808</v>
      </c>
      <c r="AM166" s="103">
        <f>+AI166/AI$11*AM$11*Inf</f>
        <v>0</v>
      </c>
      <c r="AN166" s="103">
        <f>+AJ166/AJ$11*AN$11*Inf</f>
        <v>235.17856258897808</v>
      </c>
      <c r="AO166" s="165" t="s">
        <v>42</v>
      </c>
    </row>
    <row r="167" spans="1:41" s="1" customFormat="1" ht="13.2" hidden="1" customHeight="1" x14ac:dyDescent="0.25">
      <c r="A167" s="131"/>
      <c r="B167" s="63"/>
      <c r="C167" s="63"/>
      <c r="D167" s="63"/>
      <c r="E167" s="63"/>
      <c r="F167" s="63"/>
      <c r="G167" s="64"/>
      <c r="H167" s="64"/>
      <c r="I167" s="64"/>
      <c r="J167" s="129" t="str">
        <f t="shared" si="432"/>
        <v/>
      </c>
      <c r="K167" s="129"/>
      <c r="L167" s="132">
        <f t="shared" si="194"/>
        <v>0</v>
      </c>
      <c r="M167" s="132">
        <f t="shared" si="427"/>
        <v>0</v>
      </c>
      <c r="N167" s="130"/>
      <c r="O167" s="136"/>
      <c r="P167" s="136">
        <f t="shared" si="433"/>
        <v>0</v>
      </c>
      <c r="Q167" s="136">
        <f t="shared" si="428"/>
        <v>0</v>
      </c>
      <c r="R167" s="136">
        <f t="shared" si="429"/>
        <v>0</v>
      </c>
      <c r="S167" s="136">
        <f t="shared" ref="S167:S168" si="548">IF(B167=432,I167,0)</f>
        <v>0</v>
      </c>
      <c r="T167" s="136">
        <f t="shared" si="443"/>
        <v>0</v>
      </c>
      <c r="U167" s="136">
        <f t="shared" si="443"/>
        <v>0</v>
      </c>
      <c r="V167" s="136">
        <f t="shared" si="430"/>
        <v>0</v>
      </c>
      <c r="W167" s="136">
        <f t="shared" si="431"/>
        <v>0</v>
      </c>
      <c r="X167" s="130">
        <f t="shared" si="305"/>
        <v>0</v>
      </c>
      <c r="Y167" s="129"/>
      <c r="Z167" s="64"/>
      <c r="AA167" s="64"/>
      <c r="AB167" s="64"/>
      <c r="AC167" s="129"/>
      <c r="AD167" s="64"/>
      <c r="AE167" s="64"/>
      <c r="AF167" s="64"/>
      <c r="AG167" s="129"/>
      <c r="AH167" s="64"/>
      <c r="AI167" s="64"/>
      <c r="AJ167" s="64"/>
      <c r="AK167" s="129"/>
      <c r="AL167" s="64"/>
      <c r="AM167" s="64"/>
      <c r="AN167" s="64"/>
      <c r="AO167" s="165"/>
    </row>
    <row r="168" spans="1:41" x14ac:dyDescent="0.25">
      <c r="A168" s="131"/>
      <c r="B168" s="63"/>
      <c r="C168" s="63"/>
      <c r="D168" s="63"/>
      <c r="E168" s="63"/>
      <c r="F168" s="63"/>
      <c r="G168" s="65"/>
      <c r="H168" s="65"/>
      <c r="I168" s="65"/>
      <c r="J168" s="129" t="str">
        <f>IF(J169="*","*","")</f>
        <v>*</v>
      </c>
      <c r="L168" s="132">
        <f t="shared" si="194"/>
        <v>0</v>
      </c>
      <c r="M168" s="132">
        <f t="shared" si="427"/>
        <v>0</v>
      </c>
      <c r="N168" s="130"/>
      <c r="O168" s="136"/>
      <c r="P168" s="136">
        <f>IF(B168=432,G168,0)</f>
        <v>0</v>
      </c>
      <c r="Q168" s="136">
        <f t="shared" si="428"/>
        <v>0</v>
      </c>
      <c r="R168" s="136">
        <f t="shared" si="429"/>
        <v>0</v>
      </c>
      <c r="S168" s="136">
        <f t="shared" si="548"/>
        <v>0</v>
      </c>
      <c r="T168" s="136">
        <f t="shared" si="443"/>
        <v>0</v>
      </c>
      <c r="U168" s="136">
        <f t="shared" si="443"/>
        <v>0</v>
      </c>
      <c r="V168" s="136">
        <f t="shared" si="430"/>
        <v>0</v>
      </c>
      <c r="W168" s="136">
        <f t="shared" si="431"/>
        <v>0</v>
      </c>
      <c r="X168" s="130">
        <f t="shared" si="305"/>
        <v>0</v>
      </c>
      <c r="Z168" s="65"/>
      <c r="AA168" s="65"/>
      <c r="AB168" s="65"/>
      <c r="AD168" s="65"/>
      <c r="AE168" s="65"/>
      <c r="AF168" s="65"/>
      <c r="AH168" s="65"/>
      <c r="AI168" s="65"/>
      <c r="AJ168" s="65"/>
      <c r="AL168" s="65"/>
      <c r="AM168" s="65"/>
      <c r="AN168" s="65"/>
      <c r="AO168" s="165"/>
    </row>
    <row r="169" spans="1:41" x14ac:dyDescent="0.25">
      <c r="A169" s="131"/>
      <c r="F169" s="85" t="s">
        <v>58</v>
      </c>
      <c r="G169" s="86">
        <f>SUM(G150:G168)</f>
        <v>225252.96678428887</v>
      </c>
      <c r="H169" s="86">
        <f>SUM(H150:H168)</f>
        <v>86464.546000000002</v>
      </c>
      <c r="I169" s="86">
        <f>SUM(I150:I168)</f>
        <v>138788.42078428884</v>
      </c>
      <c r="J169" s="129" t="str">
        <f>IF(G169&gt;0.49,"*","")</f>
        <v>*</v>
      </c>
      <c r="L169" s="133">
        <f>SUM(L149:L168)</f>
        <v>165104.45120000001</v>
      </c>
      <c r="M169" s="133">
        <f>SUM(M149:M168)</f>
        <v>60148.515584288849</v>
      </c>
      <c r="N169" s="130"/>
      <c r="O169" s="133"/>
      <c r="P169" s="133">
        <f t="shared" ref="P169:X169" si="549">SUM(P150:P168)</f>
        <v>0</v>
      </c>
      <c r="Q169" s="133">
        <f t="shared" si="549"/>
        <v>0</v>
      </c>
      <c r="R169" s="133">
        <f t="shared" si="549"/>
        <v>0</v>
      </c>
      <c r="S169" s="133">
        <f t="shared" si="549"/>
        <v>45939.8488</v>
      </c>
      <c r="T169" s="133">
        <f t="shared" si="549"/>
        <v>0</v>
      </c>
      <c r="U169" s="133">
        <f t="shared" si="549"/>
        <v>0</v>
      </c>
      <c r="V169" s="133">
        <f t="shared" si="549"/>
        <v>0</v>
      </c>
      <c r="W169" s="133">
        <f t="shared" si="549"/>
        <v>0</v>
      </c>
      <c r="X169" s="133">
        <f t="shared" si="549"/>
        <v>0</v>
      </c>
      <c r="Z169" s="86">
        <f>SUM(Z150:Z168)</f>
        <v>248982.22180375137</v>
      </c>
      <c r="AA169" s="86">
        <f>SUM(AA150:AA168)</f>
        <v>97187.393420000008</v>
      </c>
      <c r="AB169" s="86">
        <f>SUM(AB150:AB168)</f>
        <v>151794.82838375139</v>
      </c>
      <c r="AD169" s="86">
        <f>SUM(AD150:AD168)</f>
        <v>251472.04402178893</v>
      </c>
      <c r="AE169" s="86">
        <f>SUM(AE150:AE168)</f>
        <v>98159.267354199983</v>
      </c>
      <c r="AF169" s="86">
        <f>SUM(AF150:AF168)</f>
        <v>153312.77666758889</v>
      </c>
      <c r="AH169" s="86">
        <f>SUM(AH150:AH168)</f>
        <v>259860.43381581196</v>
      </c>
      <c r="AI169" s="86">
        <f>SUM(AI150:AI168)</f>
        <v>101974.187777742</v>
      </c>
      <c r="AJ169" s="86">
        <f>SUM(AJ150:AJ168)</f>
        <v>157886.24603807004</v>
      </c>
      <c r="AL169" s="86">
        <f>SUM(AL150:AL168)</f>
        <v>262459.03815397015</v>
      </c>
      <c r="AM169" s="86">
        <f>SUM(AM150:AM168)</f>
        <v>102993.92965551942</v>
      </c>
      <c r="AN169" s="86">
        <f>SUM(AN150:AN168)</f>
        <v>159465.10849845075</v>
      </c>
      <c r="AO169" s="165"/>
    </row>
    <row r="170" spans="1:41" x14ac:dyDescent="0.25">
      <c r="A170" s="131"/>
      <c r="B170" s="77"/>
      <c r="C170" s="77"/>
      <c r="D170" s="77"/>
      <c r="E170" s="77"/>
      <c r="F170" s="89"/>
      <c r="J170" s="129" t="str">
        <f>IF(J169="*","*","")</f>
        <v>*</v>
      </c>
      <c r="L170" s="132">
        <f t="shared" ref="L170:L186" si="550">IF(E170&lt;300,G170,0)</f>
        <v>0</v>
      </c>
      <c r="M170" s="132">
        <f t="shared" ref="M170:M186" si="551">IF(E170&gt;299,G170,0)</f>
        <v>0</v>
      </c>
      <c r="N170" s="130"/>
      <c r="O170" s="136"/>
      <c r="P170" s="136">
        <f>IF(B170=432,G170,0)</f>
        <v>0</v>
      </c>
      <c r="Q170" s="136">
        <f t="shared" ref="Q170:Q186" si="552">IF(B170=410,H170,0)</f>
        <v>0</v>
      </c>
      <c r="R170" s="136">
        <f t="shared" ref="R170:R186" si="553">IF(B170=432,H170,0)</f>
        <v>0</v>
      </c>
      <c r="S170" s="136">
        <f t="shared" ref="S170:S186" si="554">IF(B170=432,I170,0)</f>
        <v>0</v>
      </c>
      <c r="T170" s="136">
        <f t="shared" si="443"/>
        <v>0</v>
      </c>
      <c r="U170" s="136">
        <f t="shared" si="443"/>
        <v>0</v>
      </c>
      <c r="V170" s="136">
        <f t="shared" ref="V170:V186" si="555">IF(B170=360,I170,0)</f>
        <v>0</v>
      </c>
      <c r="W170" s="136">
        <f t="shared" ref="W170:W186" si="556">IF(B170=410,I170,0)</f>
        <v>0</v>
      </c>
      <c r="X170" s="130">
        <f t="shared" ref="X170:X186" si="557">+W170+Q170-O170</f>
        <v>0</v>
      </c>
      <c r="AO170" s="165"/>
    </row>
    <row r="171" spans="1:41" s="129" customFormat="1" hidden="1" x14ac:dyDescent="0.25">
      <c r="A171" s="131"/>
      <c r="B171" s="134">
        <v>100</v>
      </c>
      <c r="C171" s="134">
        <v>4000</v>
      </c>
      <c r="D171" s="134">
        <v>5500</v>
      </c>
      <c r="E171" s="134">
        <v>110</v>
      </c>
      <c r="F171" s="134" t="s">
        <v>59</v>
      </c>
      <c r="G171" s="132">
        <v>0</v>
      </c>
      <c r="H171" s="132">
        <v>0</v>
      </c>
      <c r="I171" s="132">
        <v>0</v>
      </c>
      <c r="J171" s="129" t="str">
        <f t="shared" ref="J171" si="558">IF(G171&gt;0.49,"*","")</f>
        <v/>
      </c>
      <c r="L171" s="132">
        <f t="shared" ref="L171" si="559">IF(E171&lt;300,G171,0)</f>
        <v>0</v>
      </c>
      <c r="M171" s="132">
        <f t="shared" ref="M171" si="560">IF(E171&gt;299,G171,0)</f>
        <v>0</v>
      </c>
      <c r="N171" s="130"/>
      <c r="O171" s="136"/>
      <c r="P171" s="136">
        <f t="shared" ref="P171" si="561">IF(B171=490,G171,0)</f>
        <v>0</v>
      </c>
      <c r="Q171" s="136">
        <f t="shared" ref="Q171" si="562">IF(B171=410,H171,0)</f>
        <v>0</v>
      </c>
      <c r="R171" s="136">
        <f t="shared" ref="R171" si="563">IF(B171=432,H171,0)</f>
        <v>0</v>
      </c>
      <c r="S171" s="136">
        <f t="shared" si="554"/>
        <v>0</v>
      </c>
      <c r="T171" s="136">
        <f t="shared" si="443"/>
        <v>0</v>
      </c>
      <c r="U171" s="136">
        <f t="shared" si="443"/>
        <v>0</v>
      </c>
      <c r="V171" s="136">
        <f t="shared" ref="V171" si="564">IF(B171=360,I171,0)</f>
        <v>0</v>
      </c>
      <c r="W171" s="136">
        <f t="shared" ref="W171" si="565">IF(B171=410,I171,0)</f>
        <v>0</v>
      </c>
      <c r="X171" s="130">
        <f t="shared" ref="X171" si="566">+W171+Q171-O171</f>
        <v>0</v>
      </c>
      <c r="Z171" s="132">
        <f>AA171+AB171</f>
        <v>0</v>
      </c>
      <c r="AA171" s="132">
        <f>+H171*Inf</f>
        <v>0</v>
      </c>
      <c r="AB171" s="132">
        <f>+I171</f>
        <v>0</v>
      </c>
      <c r="AD171" s="132" t="e">
        <f>+'Payroll Input'!#REF!</f>
        <v>#REF!</v>
      </c>
      <c r="AE171" s="132">
        <f>AA171*Inf</f>
        <v>0</v>
      </c>
      <c r="AF171" s="132">
        <v>0</v>
      </c>
      <c r="AH171" s="132" t="e">
        <f>+'Payroll Input'!#REF!</f>
        <v>#REF!</v>
      </c>
      <c r="AI171" s="132">
        <f>AE171*Inf</f>
        <v>0</v>
      </c>
      <c r="AJ171" s="132">
        <v>0</v>
      </c>
      <c r="AL171" s="132" t="e">
        <f>+'Payroll Input'!#REF!</f>
        <v>#REF!</v>
      </c>
      <c r="AM171" s="132">
        <f>AI171*Inf</f>
        <v>0</v>
      </c>
      <c r="AN171" s="132">
        <v>0</v>
      </c>
      <c r="AO171" s="165" t="s">
        <v>35</v>
      </c>
    </row>
    <row r="172" spans="1:41" s="129" customFormat="1" hidden="1" x14ac:dyDescent="0.25">
      <c r="A172" s="131"/>
      <c r="B172" s="134">
        <v>100</v>
      </c>
      <c r="C172" s="134">
        <v>4000</v>
      </c>
      <c r="D172" s="134">
        <v>5500</v>
      </c>
      <c r="E172" s="134">
        <v>120</v>
      </c>
      <c r="F172" s="134" t="s">
        <v>60</v>
      </c>
      <c r="G172" s="132">
        <v>0</v>
      </c>
      <c r="H172" s="132">
        <v>0</v>
      </c>
      <c r="I172" s="132">
        <v>0</v>
      </c>
      <c r="J172" s="129" t="str">
        <f t="shared" ref="J172:J178" si="567">IF(G172&gt;0.49,"*","")</f>
        <v/>
      </c>
      <c r="L172" s="132">
        <f t="shared" si="550"/>
        <v>0</v>
      </c>
      <c r="M172" s="132">
        <f t="shared" si="551"/>
        <v>0</v>
      </c>
      <c r="N172" s="130"/>
      <c r="O172" s="136"/>
      <c r="P172" s="136">
        <f t="shared" ref="P172:P185" si="568">IF(B172=490,G172,0)</f>
        <v>0</v>
      </c>
      <c r="Q172" s="136">
        <f t="shared" si="552"/>
        <v>0</v>
      </c>
      <c r="R172" s="136">
        <f t="shared" si="553"/>
        <v>0</v>
      </c>
      <c r="S172" s="136">
        <f t="shared" si="554"/>
        <v>0</v>
      </c>
      <c r="T172" s="136">
        <f t="shared" si="443"/>
        <v>0</v>
      </c>
      <c r="U172" s="136">
        <f t="shared" si="443"/>
        <v>0</v>
      </c>
      <c r="V172" s="136">
        <f t="shared" si="555"/>
        <v>0</v>
      </c>
      <c r="W172" s="136">
        <f t="shared" si="556"/>
        <v>0</v>
      </c>
      <c r="X172" s="130">
        <f t="shared" si="557"/>
        <v>0</v>
      </c>
      <c r="Z172" s="132">
        <f t="shared" ref="Z172:Z178" si="569">AA172+AB172</f>
        <v>0</v>
      </c>
      <c r="AA172" s="132">
        <f>+H172*Inf</f>
        <v>0</v>
      </c>
      <c r="AB172" s="132">
        <f t="shared" ref="AB172:AB173" si="570">+I172</f>
        <v>0</v>
      </c>
      <c r="AD172" s="132" t="e">
        <f>'Payroll Input'!#REF!</f>
        <v>#REF!</v>
      </c>
      <c r="AE172" s="132">
        <f>AA172*Inf</f>
        <v>0</v>
      </c>
      <c r="AF172" s="132">
        <v>0</v>
      </c>
      <c r="AH172" s="132" t="e">
        <f>'Payroll Input'!#REF!</f>
        <v>#REF!</v>
      </c>
      <c r="AI172" s="132">
        <f>AE172*Inf</f>
        <v>0</v>
      </c>
      <c r="AJ172" s="132">
        <v>0</v>
      </c>
      <c r="AL172" s="132" t="e">
        <f>'Payroll Input'!#REF!</f>
        <v>#REF!</v>
      </c>
      <c r="AM172" s="132">
        <f>AI172*Inf</f>
        <v>0</v>
      </c>
      <c r="AN172" s="132">
        <v>0</v>
      </c>
      <c r="AO172" s="165" t="s">
        <v>35</v>
      </c>
    </row>
    <row r="173" spans="1:41" s="129" customFormat="1" hidden="1" x14ac:dyDescent="0.25">
      <c r="A173" s="131"/>
      <c r="B173" s="134">
        <v>100</v>
      </c>
      <c r="C173" s="134">
        <v>4000</v>
      </c>
      <c r="D173" s="134">
        <v>5500</v>
      </c>
      <c r="E173" s="134">
        <v>150</v>
      </c>
      <c r="F173" s="134" t="s">
        <v>61</v>
      </c>
      <c r="G173" s="132">
        <v>0</v>
      </c>
      <c r="H173" s="132">
        <v>0</v>
      </c>
      <c r="I173" s="132">
        <v>0</v>
      </c>
      <c r="J173" s="129" t="str">
        <f t="shared" si="567"/>
        <v/>
      </c>
      <c r="L173" s="132">
        <f t="shared" si="550"/>
        <v>0</v>
      </c>
      <c r="M173" s="132">
        <f t="shared" si="551"/>
        <v>0</v>
      </c>
      <c r="N173" s="130"/>
      <c r="O173" s="136"/>
      <c r="P173" s="136">
        <f t="shared" si="568"/>
        <v>0</v>
      </c>
      <c r="Q173" s="136">
        <f t="shared" si="552"/>
        <v>0</v>
      </c>
      <c r="R173" s="136">
        <f t="shared" si="553"/>
        <v>0</v>
      </c>
      <c r="S173" s="136">
        <f t="shared" si="554"/>
        <v>0</v>
      </c>
      <c r="T173" s="136">
        <f t="shared" si="443"/>
        <v>0</v>
      </c>
      <c r="U173" s="136">
        <f t="shared" si="443"/>
        <v>0</v>
      </c>
      <c r="V173" s="136">
        <f t="shared" si="555"/>
        <v>0</v>
      </c>
      <c r="W173" s="136">
        <f t="shared" si="556"/>
        <v>0</v>
      </c>
      <c r="X173" s="130">
        <f t="shared" si="557"/>
        <v>0</v>
      </c>
      <c r="Z173" s="132">
        <f t="shared" si="569"/>
        <v>0</v>
      </c>
      <c r="AA173" s="132">
        <f>+H173*Inf</f>
        <v>0</v>
      </c>
      <c r="AB173" s="132">
        <f t="shared" si="570"/>
        <v>0</v>
      </c>
      <c r="AD173" s="132" t="e">
        <f>'Payroll Input'!#REF!</f>
        <v>#REF!</v>
      </c>
      <c r="AE173" s="132">
        <f>AA173*Inf</f>
        <v>0</v>
      </c>
      <c r="AF173" s="132">
        <v>0</v>
      </c>
      <c r="AH173" s="132" t="e">
        <f>'Payroll Input'!#REF!</f>
        <v>#REF!</v>
      </c>
      <c r="AI173" s="132">
        <f>AE173*Inf</f>
        <v>0</v>
      </c>
      <c r="AJ173" s="132">
        <v>0</v>
      </c>
      <c r="AL173" s="132" t="e">
        <f>'Payroll Input'!#REF!</f>
        <v>#REF!</v>
      </c>
      <c r="AM173" s="132">
        <f>AI173*Inf</f>
        <v>0</v>
      </c>
      <c r="AN173" s="132">
        <v>0</v>
      </c>
      <c r="AO173" s="165" t="s">
        <v>35</v>
      </c>
    </row>
    <row r="174" spans="1:41" s="129" customFormat="1" hidden="1" x14ac:dyDescent="0.25">
      <c r="A174" s="131"/>
      <c r="B174" s="134">
        <v>100</v>
      </c>
      <c r="C174" s="134">
        <v>4000</v>
      </c>
      <c r="D174" s="134">
        <v>5500</v>
      </c>
      <c r="E174" s="134">
        <v>210</v>
      </c>
      <c r="F174" s="134" t="s">
        <v>45</v>
      </c>
      <c r="G174" s="132">
        <v>0</v>
      </c>
      <c r="H174" s="132">
        <v>0</v>
      </c>
      <c r="I174" s="132">
        <v>0</v>
      </c>
      <c r="J174" s="129" t="str">
        <f t="shared" si="567"/>
        <v/>
      </c>
      <c r="L174" s="132">
        <f t="shared" si="550"/>
        <v>0</v>
      </c>
      <c r="M174" s="132">
        <f t="shared" si="551"/>
        <v>0</v>
      </c>
      <c r="N174" s="130"/>
      <c r="O174" s="136"/>
      <c r="P174" s="136">
        <f t="shared" si="568"/>
        <v>0</v>
      </c>
      <c r="Q174" s="136">
        <f t="shared" si="552"/>
        <v>0</v>
      </c>
      <c r="R174" s="136">
        <f t="shared" si="553"/>
        <v>0</v>
      </c>
      <c r="S174" s="136">
        <f t="shared" si="554"/>
        <v>0</v>
      </c>
      <c r="T174" s="136">
        <f t="shared" si="443"/>
        <v>0</v>
      </c>
      <c r="U174" s="136">
        <f t="shared" si="443"/>
        <v>0</v>
      </c>
      <c r="V174" s="136">
        <f t="shared" si="555"/>
        <v>0</v>
      </c>
      <c r="W174" s="136">
        <f t="shared" si="556"/>
        <v>0</v>
      </c>
      <c r="X174" s="130">
        <f t="shared" si="557"/>
        <v>0</v>
      </c>
      <c r="Z174" s="132">
        <f t="shared" si="569"/>
        <v>0</v>
      </c>
      <c r="AA174" s="132">
        <f>SUM(AA$171:AA$173)*10%</f>
        <v>0</v>
      </c>
      <c r="AB174" s="132">
        <f>SUM(AB$171:AB$173)*10%</f>
        <v>0</v>
      </c>
      <c r="AD174" s="103">
        <f t="shared" ref="AD174:AD178" si="571">AE174+AF174</f>
        <v>0</v>
      </c>
      <c r="AE174" s="132">
        <f>SUM(AE$171:AE$173)*10%</f>
        <v>0</v>
      </c>
      <c r="AF174" s="132">
        <v>0</v>
      </c>
      <c r="AH174" s="103">
        <f t="shared" ref="AH174:AH178" si="572">AI174+AJ174</f>
        <v>0</v>
      </c>
      <c r="AI174" s="132">
        <f>SUM(AI$171:AI$173)*10%</f>
        <v>0</v>
      </c>
      <c r="AJ174" s="132">
        <v>0</v>
      </c>
      <c r="AL174" s="103">
        <f t="shared" ref="AL174:AL178" si="573">AM174+AN174</f>
        <v>0</v>
      </c>
      <c r="AM174" s="132">
        <f>SUM(AM$171:AM$173)*10%</f>
        <v>0</v>
      </c>
      <c r="AN174" s="132">
        <v>0</v>
      </c>
      <c r="AO174" s="165" t="s">
        <v>56</v>
      </c>
    </row>
    <row r="175" spans="1:41" s="129" customFormat="1" hidden="1" x14ac:dyDescent="0.25">
      <c r="A175" s="131"/>
      <c r="B175" s="134">
        <v>100</v>
      </c>
      <c r="C175" s="134">
        <v>4000</v>
      </c>
      <c r="D175" s="134">
        <v>5500</v>
      </c>
      <c r="E175" s="134">
        <v>220</v>
      </c>
      <c r="F175" s="134" t="s">
        <v>47</v>
      </c>
      <c r="G175" s="132">
        <v>0</v>
      </c>
      <c r="H175" s="132">
        <v>0</v>
      </c>
      <c r="I175" s="132">
        <v>0</v>
      </c>
      <c r="J175" s="129" t="str">
        <f t="shared" si="567"/>
        <v/>
      </c>
      <c r="L175" s="132">
        <f t="shared" si="550"/>
        <v>0</v>
      </c>
      <c r="M175" s="132">
        <f t="shared" si="551"/>
        <v>0</v>
      </c>
      <c r="N175" s="130"/>
      <c r="O175" s="136"/>
      <c r="P175" s="136">
        <f t="shared" si="568"/>
        <v>0</v>
      </c>
      <c r="Q175" s="136">
        <f t="shared" si="552"/>
        <v>0</v>
      </c>
      <c r="R175" s="136">
        <f t="shared" si="553"/>
        <v>0</v>
      </c>
      <c r="S175" s="136">
        <f t="shared" si="554"/>
        <v>0</v>
      </c>
      <c r="T175" s="136">
        <f t="shared" si="443"/>
        <v>0</v>
      </c>
      <c r="U175" s="136">
        <f t="shared" si="443"/>
        <v>0</v>
      </c>
      <c r="V175" s="136">
        <f t="shared" si="555"/>
        <v>0</v>
      </c>
      <c r="W175" s="136">
        <f t="shared" si="556"/>
        <v>0</v>
      </c>
      <c r="X175" s="130">
        <f t="shared" si="557"/>
        <v>0</v>
      </c>
      <c r="Z175" s="132">
        <f t="shared" si="569"/>
        <v>0</v>
      </c>
      <c r="AA175" s="132">
        <f>SUM(AA$171:AA$173)*7.65%</f>
        <v>0</v>
      </c>
      <c r="AB175" s="132">
        <f>SUM(AB$171:AB$173)*7.65%</f>
        <v>0</v>
      </c>
      <c r="AD175" s="103">
        <f t="shared" si="571"/>
        <v>0</v>
      </c>
      <c r="AE175" s="132">
        <f>SUM(AE$171:AE$173)*7.65%</f>
        <v>0</v>
      </c>
      <c r="AF175" s="132">
        <v>0</v>
      </c>
      <c r="AH175" s="103">
        <f t="shared" si="572"/>
        <v>0</v>
      </c>
      <c r="AI175" s="132">
        <f>SUM(AI$171:AI$173)*7.65%</f>
        <v>0</v>
      </c>
      <c r="AJ175" s="132">
        <v>0</v>
      </c>
      <c r="AL175" s="103">
        <f t="shared" si="573"/>
        <v>0</v>
      </c>
      <c r="AM175" s="132">
        <f>SUM(AM$171:AM$173)*7.65%</f>
        <v>0</v>
      </c>
      <c r="AN175" s="132">
        <v>0</v>
      </c>
      <c r="AO175" s="165" t="s">
        <v>57</v>
      </c>
    </row>
    <row r="176" spans="1:41" s="129" customFormat="1" hidden="1" x14ac:dyDescent="0.25">
      <c r="A176" s="131"/>
      <c r="B176" s="134">
        <v>100</v>
      </c>
      <c r="C176" s="134">
        <v>4000</v>
      </c>
      <c r="D176" s="134">
        <v>5500</v>
      </c>
      <c r="E176" s="134">
        <v>230</v>
      </c>
      <c r="F176" s="134" t="s">
        <v>49</v>
      </c>
      <c r="G176" s="132">
        <v>0</v>
      </c>
      <c r="H176" s="132">
        <v>0</v>
      </c>
      <c r="I176" s="132">
        <v>0</v>
      </c>
      <c r="J176" s="129" t="str">
        <f t="shared" si="567"/>
        <v/>
      </c>
      <c r="L176" s="132">
        <f t="shared" si="550"/>
        <v>0</v>
      </c>
      <c r="M176" s="132">
        <f t="shared" si="551"/>
        <v>0</v>
      </c>
      <c r="N176" s="130"/>
      <c r="O176" s="136"/>
      <c r="P176" s="136">
        <f t="shared" si="568"/>
        <v>0</v>
      </c>
      <c r="Q176" s="136">
        <f t="shared" si="552"/>
        <v>0</v>
      </c>
      <c r="R176" s="136">
        <f t="shared" si="553"/>
        <v>0</v>
      </c>
      <c r="S176" s="136">
        <f t="shared" si="554"/>
        <v>0</v>
      </c>
      <c r="T176" s="136">
        <f t="shared" si="443"/>
        <v>0</v>
      </c>
      <c r="U176" s="136">
        <f t="shared" si="443"/>
        <v>0</v>
      </c>
      <c r="V176" s="136">
        <f t="shared" si="555"/>
        <v>0</v>
      </c>
      <c r="W176" s="136">
        <f t="shared" si="556"/>
        <v>0</v>
      </c>
      <c r="X176" s="130">
        <f t="shared" si="557"/>
        <v>0</v>
      </c>
      <c r="Z176" s="132" t="e">
        <f t="shared" si="569"/>
        <v>#DIV/0!</v>
      </c>
      <c r="AA176" s="132" t="e">
        <f>H176/SUM(H$171:H$173)*SUM(AA$171:AA$173)</f>
        <v>#DIV/0!</v>
      </c>
      <c r="AB176" s="132">
        <v>0</v>
      </c>
      <c r="AD176" s="103" t="e">
        <f t="shared" si="571"/>
        <v>#DIV/0!</v>
      </c>
      <c r="AE176" s="132" t="e">
        <f>AA176/SUM(AA$171:AA$173)*SUM(AE$171:AE$173)</f>
        <v>#DIV/0!</v>
      </c>
      <c r="AF176" s="132">
        <v>0</v>
      </c>
      <c r="AH176" s="103" t="e">
        <f t="shared" si="572"/>
        <v>#DIV/0!</v>
      </c>
      <c r="AI176" s="132" t="e">
        <f>AE176/SUM(AE$171:AE$173)*SUM(AI$171:AI$173)</f>
        <v>#DIV/0!</v>
      </c>
      <c r="AJ176" s="132">
        <v>0</v>
      </c>
      <c r="AL176" s="103" t="e">
        <f t="shared" si="573"/>
        <v>#DIV/0!</v>
      </c>
      <c r="AM176" s="132" t="e">
        <f>AI176/SUM(AI$171:AI$173)*SUM(AM$171:AM$173)</f>
        <v>#DIV/0!</v>
      </c>
      <c r="AN176" s="132">
        <v>0</v>
      </c>
      <c r="AO176" s="165" t="s">
        <v>50</v>
      </c>
    </row>
    <row r="177" spans="1:41" s="129" customFormat="1" hidden="1" x14ac:dyDescent="0.25">
      <c r="A177" s="131"/>
      <c r="B177" s="134">
        <v>100</v>
      </c>
      <c r="C177" s="134">
        <v>4000</v>
      </c>
      <c r="D177" s="134">
        <v>5500</v>
      </c>
      <c r="E177" s="134">
        <v>240</v>
      </c>
      <c r="F177" s="134" t="s">
        <v>51</v>
      </c>
      <c r="G177" s="132">
        <v>0</v>
      </c>
      <c r="H177" s="132">
        <v>0</v>
      </c>
      <c r="I177" s="132">
        <v>0</v>
      </c>
      <c r="J177" s="129" t="str">
        <f t="shared" si="567"/>
        <v/>
      </c>
      <c r="L177" s="132">
        <f t="shared" si="550"/>
        <v>0</v>
      </c>
      <c r="M177" s="132">
        <f t="shared" si="551"/>
        <v>0</v>
      </c>
      <c r="N177" s="130"/>
      <c r="O177" s="136"/>
      <c r="P177" s="136">
        <f t="shared" si="568"/>
        <v>0</v>
      </c>
      <c r="Q177" s="136">
        <f t="shared" si="552"/>
        <v>0</v>
      </c>
      <c r="R177" s="136">
        <f t="shared" si="553"/>
        <v>0</v>
      </c>
      <c r="S177" s="136">
        <f t="shared" si="554"/>
        <v>0</v>
      </c>
      <c r="T177" s="136">
        <f t="shared" si="443"/>
        <v>0</v>
      </c>
      <c r="U177" s="136">
        <f t="shared" si="443"/>
        <v>0</v>
      </c>
      <c r="V177" s="136">
        <f t="shared" si="555"/>
        <v>0</v>
      </c>
      <c r="W177" s="136">
        <f t="shared" si="556"/>
        <v>0</v>
      </c>
      <c r="X177" s="130">
        <f t="shared" si="557"/>
        <v>0</v>
      </c>
      <c r="Z177" s="132" t="e">
        <f t="shared" si="569"/>
        <v>#DIV/0!</v>
      </c>
      <c r="AA177" s="132" t="e">
        <f>H177/SUM(H$171:H$173)*SUM(AA$171:AA$173)</f>
        <v>#DIV/0!</v>
      </c>
      <c r="AB177" s="132">
        <v>0</v>
      </c>
      <c r="AD177" s="103" t="e">
        <f t="shared" si="571"/>
        <v>#DIV/0!</v>
      </c>
      <c r="AE177" s="132" t="e">
        <f>AA177/SUM(AA$171:AA$173)*SUM(AE$171:AE$173)</f>
        <v>#DIV/0!</v>
      </c>
      <c r="AF177" s="132">
        <v>0</v>
      </c>
      <c r="AH177" s="103" t="e">
        <f t="shared" si="572"/>
        <v>#DIV/0!</v>
      </c>
      <c r="AI177" s="132" t="e">
        <f>AE177/SUM(AE$171:AE$173)*SUM(AI$171:AI$173)</f>
        <v>#DIV/0!</v>
      </c>
      <c r="AJ177" s="132">
        <v>0</v>
      </c>
      <c r="AL177" s="103" t="e">
        <f t="shared" si="573"/>
        <v>#DIV/0!</v>
      </c>
      <c r="AM177" s="132" t="e">
        <f>AI177/SUM(AI$171:AI$173)*SUM(AM$171:AM$173)</f>
        <v>#DIV/0!</v>
      </c>
      <c r="AN177" s="132">
        <v>0</v>
      </c>
      <c r="AO177" s="165" t="s">
        <v>50</v>
      </c>
    </row>
    <row r="178" spans="1:41" s="129" customFormat="1" hidden="1" x14ac:dyDescent="0.25">
      <c r="A178" s="131"/>
      <c r="B178" s="134">
        <v>100</v>
      </c>
      <c r="C178" s="134">
        <v>4000</v>
      </c>
      <c r="D178" s="134">
        <v>5500</v>
      </c>
      <c r="E178" s="134">
        <v>250</v>
      </c>
      <c r="F178" s="134" t="s">
        <v>52</v>
      </c>
      <c r="G178" s="132">
        <v>0</v>
      </c>
      <c r="H178" s="132">
        <v>0</v>
      </c>
      <c r="I178" s="132">
        <v>0</v>
      </c>
      <c r="J178" s="129" t="str">
        <f t="shared" si="567"/>
        <v/>
      </c>
      <c r="L178" s="132">
        <f t="shared" si="550"/>
        <v>0</v>
      </c>
      <c r="M178" s="132">
        <f t="shared" si="551"/>
        <v>0</v>
      </c>
      <c r="N178" s="130"/>
      <c r="O178" s="136"/>
      <c r="P178" s="136">
        <f t="shared" si="568"/>
        <v>0</v>
      </c>
      <c r="Q178" s="136">
        <f t="shared" si="552"/>
        <v>0</v>
      </c>
      <c r="R178" s="136">
        <f t="shared" si="553"/>
        <v>0</v>
      </c>
      <c r="S178" s="136">
        <f t="shared" si="554"/>
        <v>0</v>
      </c>
      <c r="T178" s="136">
        <f t="shared" si="443"/>
        <v>0</v>
      </c>
      <c r="U178" s="136">
        <f t="shared" si="443"/>
        <v>0</v>
      </c>
      <c r="V178" s="136">
        <f t="shared" si="555"/>
        <v>0</v>
      </c>
      <c r="W178" s="136">
        <f t="shared" si="556"/>
        <v>0</v>
      </c>
      <c r="X178" s="130">
        <f t="shared" si="557"/>
        <v>0</v>
      </c>
      <c r="Z178" s="132" t="e">
        <f t="shared" si="569"/>
        <v>#DIV/0!</v>
      </c>
      <c r="AA178" s="132" t="e">
        <f>H178/SUM(H$171:H$173)*SUM(AA$171:AA$173)</f>
        <v>#DIV/0!</v>
      </c>
      <c r="AB178" s="132">
        <v>0</v>
      </c>
      <c r="AD178" s="103" t="e">
        <f t="shared" si="571"/>
        <v>#DIV/0!</v>
      </c>
      <c r="AE178" s="132" t="e">
        <f t="shared" ref="AE178" si="574">AA178/SUM(AA$171:AA$173)*SUM(AE$171:AE$173)</f>
        <v>#DIV/0!</v>
      </c>
      <c r="AF178" s="132">
        <v>0</v>
      </c>
      <c r="AH178" s="103" t="e">
        <f t="shared" si="572"/>
        <v>#DIV/0!</v>
      </c>
      <c r="AI178" s="132" t="e">
        <f t="shared" ref="AI178" si="575">AE178/SUM(AE$171:AE$173)*SUM(AI$171:AI$173)</f>
        <v>#DIV/0!</v>
      </c>
      <c r="AJ178" s="132">
        <v>0</v>
      </c>
      <c r="AL178" s="103" t="e">
        <f t="shared" si="573"/>
        <v>#DIV/0!</v>
      </c>
      <c r="AM178" s="132" t="e">
        <f>AI178/SUM(AI$171:AI$173)*SUM(AM$171:AM$173)</f>
        <v>#DIV/0!</v>
      </c>
      <c r="AN178" s="132">
        <v>0</v>
      </c>
      <c r="AO178" s="165" t="s">
        <v>50</v>
      </c>
    </row>
    <row r="179" spans="1:41" s="129" customFormat="1" ht="13.2" hidden="1" customHeight="1" x14ac:dyDescent="0.25">
      <c r="A179" s="131"/>
      <c r="B179" s="134"/>
      <c r="C179" s="134"/>
      <c r="D179" s="134"/>
      <c r="E179" s="134"/>
      <c r="F179" s="134"/>
      <c r="G179" s="136"/>
      <c r="H179" s="136"/>
      <c r="I179" s="136"/>
      <c r="L179" s="132">
        <f t="shared" si="550"/>
        <v>0</v>
      </c>
      <c r="M179" s="132">
        <f t="shared" si="551"/>
        <v>0</v>
      </c>
      <c r="N179" s="130"/>
      <c r="O179" s="136"/>
      <c r="P179" s="136">
        <f t="shared" si="568"/>
        <v>0</v>
      </c>
      <c r="Q179" s="136">
        <f t="shared" si="552"/>
        <v>0</v>
      </c>
      <c r="R179" s="136">
        <f t="shared" si="553"/>
        <v>0</v>
      </c>
      <c r="S179" s="136">
        <f t="shared" si="554"/>
        <v>0</v>
      </c>
      <c r="T179" s="136">
        <f t="shared" si="443"/>
        <v>0</v>
      </c>
      <c r="U179" s="136">
        <f t="shared" si="443"/>
        <v>0</v>
      </c>
      <c r="V179" s="136">
        <f t="shared" si="555"/>
        <v>0</v>
      </c>
      <c r="W179" s="136">
        <f t="shared" si="556"/>
        <v>0</v>
      </c>
      <c r="X179" s="130">
        <f t="shared" si="557"/>
        <v>0</v>
      </c>
      <c r="Z179" s="136"/>
      <c r="AA179" s="136"/>
      <c r="AB179" s="136"/>
      <c r="AD179" s="136"/>
      <c r="AE179" s="136"/>
      <c r="AF179" s="136"/>
      <c r="AH179" s="136"/>
      <c r="AI179" s="136"/>
      <c r="AJ179" s="136"/>
      <c r="AL179" s="136"/>
      <c r="AM179" s="136"/>
      <c r="AN179" s="136"/>
      <c r="AO179" s="165"/>
    </row>
    <row r="180" spans="1:41" s="129" customFormat="1" hidden="1" x14ac:dyDescent="0.25">
      <c r="A180" s="131"/>
      <c r="B180" s="134">
        <f>+'Expense Input'!B47</f>
        <v>100</v>
      </c>
      <c r="C180" s="134">
        <f>+'Expense Input'!C47</f>
        <v>4000</v>
      </c>
      <c r="D180" s="134">
        <f>+'Expense Input'!D47</f>
        <v>5500</v>
      </c>
      <c r="E180" s="134">
        <f>+'Expense Input'!E47</f>
        <v>310</v>
      </c>
      <c r="F180" s="134" t="str">
        <f>+'Expense Input'!F47</f>
        <v>Meals</v>
      </c>
      <c r="G180" s="136">
        <f>+'Expense Input'!Q47</f>
        <v>0</v>
      </c>
      <c r="H180" s="136">
        <f>+'Expense Input'!R47</f>
        <v>0</v>
      </c>
      <c r="I180" s="136">
        <f>+'Expense Input'!S47</f>
        <v>0</v>
      </c>
      <c r="J180" s="129" t="str">
        <f t="shared" ref="J180" si="576">IF(G180&gt;0.49,"*","")</f>
        <v/>
      </c>
      <c r="L180" s="132">
        <f t="shared" ref="L180" si="577">IF(E180&lt;300,G180,0)</f>
        <v>0</v>
      </c>
      <c r="M180" s="132">
        <f t="shared" ref="M180" si="578">IF(E180&gt;299,G180,0)</f>
        <v>0</v>
      </c>
      <c r="N180" s="130"/>
      <c r="O180" s="136"/>
      <c r="P180" s="136">
        <f t="shared" si="568"/>
        <v>0</v>
      </c>
      <c r="Q180" s="136">
        <f t="shared" si="552"/>
        <v>0</v>
      </c>
      <c r="R180" s="136">
        <f t="shared" si="553"/>
        <v>0</v>
      </c>
      <c r="S180" s="136">
        <f t="shared" si="554"/>
        <v>0</v>
      </c>
      <c r="T180" s="136">
        <f t="shared" si="443"/>
        <v>0</v>
      </c>
      <c r="U180" s="136">
        <f t="shared" si="443"/>
        <v>0</v>
      </c>
      <c r="V180" s="136">
        <f t="shared" si="555"/>
        <v>0</v>
      </c>
      <c r="W180" s="136">
        <f t="shared" si="556"/>
        <v>0</v>
      </c>
      <c r="X180" s="130">
        <f t="shared" ref="X180" si="579">+W180+Q180-O180</f>
        <v>0</v>
      </c>
      <c r="Z180" s="103">
        <f t="shared" ref="Z180:Z184" si="580">AA180+AB180</f>
        <v>0</v>
      </c>
      <c r="AA180" s="103">
        <f t="shared" ref="AA180:AB184" si="581">+H180/H$11*AA$11*Inf</f>
        <v>0</v>
      </c>
      <c r="AB180" s="103">
        <f t="shared" si="581"/>
        <v>0</v>
      </c>
      <c r="AC180" s="77"/>
      <c r="AD180" s="103">
        <f t="shared" ref="AD180:AD184" si="582">AE180+AF180</f>
        <v>0</v>
      </c>
      <c r="AE180" s="103">
        <f t="shared" ref="AE180:AF184" si="583">+AA180/AA$11*AE$11*Inf</f>
        <v>0</v>
      </c>
      <c r="AF180" s="103">
        <f t="shared" si="583"/>
        <v>0</v>
      </c>
      <c r="AG180" s="77"/>
      <c r="AH180" s="103">
        <f t="shared" ref="AH180:AH184" si="584">AI180+AJ180</f>
        <v>0</v>
      </c>
      <c r="AI180" s="103">
        <f t="shared" ref="AI180:AJ184" si="585">+AE180/AE$11*AI$11*Inf</f>
        <v>0</v>
      </c>
      <c r="AJ180" s="103">
        <f t="shared" si="585"/>
        <v>0</v>
      </c>
      <c r="AK180" s="77"/>
      <c r="AL180" s="103">
        <f t="shared" ref="AL180:AL184" si="586">AM180+AN180</f>
        <v>0</v>
      </c>
      <c r="AM180" s="103">
        <f t="shared" ref="AM180:AN184" si="587">+AI180/AI$11*AM$11*Inf</f>
        <v>0</v>
      </c>
      <c r="AN180" s="103">
        <f t="shared" si="587"/>
        <v>0</v>
      </c>
      <c r="AO180" s="165" t="s">
        <v>42</v>
      </c>
    </row>
    <row r="181" spans="1:41" s="129" customFormat="1" hidden="1" x14ac:dyDescent="0.25">
      <c r="A181" s="131"/>
      <c r="B181" s="134">
        <f>+'Expense Input'!B48</f>
        <v>100</v>
      </c>
      <c r="C181" s="134">
        <f>+'Expense Input'!C48</f>
        <v>4000</v>
      </c>
      <c r="D181" s="134">
        <f>+'Expense Input'!D48</f>
        <v>5500</v>
      </c>
      <c r="E181" s="134">
        <f>+'Expense Input'!E48</f>
        <v>311</v>
      </c>
      <c r="F181" s="134" t="str">
        <f>+'Expense Input'!F48</f>
        <v>Snacks</v>
      </c>
      <c r="G181" s="136">
        <f>+'Expense Input'!Q48</f>
        <v>0</v>
      </c>
      <c r="H181" s="136">
        <f>+'Expense Input'!R48</f>
        <v>0</v>
      </c>
      <c r="I181" s="136">
        <f>+'Expense Input'!S48</f>
        <v>0</v>
      </c>
      <c r="J181" s="129" t="str">
        <f t="shared" ref="J181:J183" si="588">IF(G181&gt;0.49,"*","")</f>
        <v/>
      </c>
      <c r="L181" s="132">
        <f t="shared" si="550"/>
        <v>0</v>
      </c>
      <c r="M181" s="132">
        <f t="shared" si="551"/>
        <v>0</v>
      </c>
      <c r="N181" s="130"/>
      <c r="O181" s="136"/>
      <c r="P181" s="136">
        <f t="shared" si="568"/>
        <v>0</v>
      </c>
      <c r="Q181" s="136">
        <f t="shared" si="552"/>
        <v>0</v>
      </c>
      <c r="R181" s="136">
        <f t="shared" si="553"/>
        <v>0</v>
      </c>
      <c r="S181" s="136">
        <f t="shared" si="554"/>
        <v>0</v>
      </c>
      <c r="T181" s="136">
        <f t="shared" si="443"/>
        <v>0</v>
      </c>
      <c r="U181" s="136">
        <f t="shared" si="443"/>
        <v>0</v>
      </c>
      <c r="V181" s="136">
        <f t="shared" si="555"/>
        <v>0</v>
      </c>
      <c r="W181" s="136">
        <f t="shared" si="556"/>
        <v>0</v>
      </c>
      <c r="X181" s="130">
        <f t="shared" si="557"/>
        <v>0</v>
      </c>
      <c r="Z181" s="103">
        <f t="shared" si="580"/>
        <v>0</v>
      </c>
      <c r="AA181" s="103">
        <f t="shared" si="581"/>
        <v>0</v>
      </c>
      <c r="AB181" s="103">
        <f t="shared" si="581"/>
        <v>0</v>
      </c>
      <c r="AC181" s="77"/>
      <c r="AD181" s="103">
        <f t="shared" si="582"/>
        <v>0</v>
      </c>
      <c r="AE181" s="103">
        <f t="shared" si="583"/>
        <v>0</v>
      </c>
      <c r="AF181" s="103">
        <f t="shared" si="583"/>
        <v>0</v>
      </c>
      <c r="AG181" s="77"/>
      <c r="AH181" s="103">
        <f t="shared" si="584"/>
        <v>0</v>
      </c>
      <c r="AI181" s="103">
        <f t="shared" si="585"/>
        <v>0</v>
      </c>
      <c r="AJ181" s="103">
        <f t="shared" si="585"/>
        <v>0</v>
      </c>
      <c r="AK181" s="77"/>
      <c r="AL181" s="103">
        <f t="shared" si="586"/>
        <v>0</v>
      </c>
      <c r="AM181" s="103">
        <f t="shared" si="587"/>
        <v>0</v>
      </c>
      <c r="AN181" s="103">
        <f t="shared" si="587"/>
        <v>0</v>
      </c>
      <c r="AO181" s="165" t="s">
        <v>42</v>
      </c>
    </row>
    <row r="182" spans="1:41" s="129" customFormat="1" ht="13.5" hidden="1" customHeight="1" x14ac:dyDescent="0.25">
      <c r="A182" s="131"/>
      <c r="B182" s="134">
        <f>+'Expense Input'!B49</f>
        <v>100</v>
      </c>
      <c r="C182" s="134">
        <f>+'Expense Input'!C49</f>
        <v>4000</v>
      </c>
      <c r="D182" s="134">
        <f>+'Expense Input'!D49</f>
        <v>5500</v>
      </c>
      <c r="E182" s="134">
        <f>+'Expense Input'!E49</f>
        <v>510</v>
      </c>
      <c r="F182" s="134" t="str">
        <f>+'Expense Input'!F49</f>
        <v>Instructional Materials</v>
      </c>
      <c r="G182" s="136">
        <f>+'Expense Input'!Q49</f>
        <v>0</v>
      </c>
      <c r="H182" s="136">
        <f>+'Expense Input'!R49</f>
        <v>0</v>
      </c>
      <c r="I182" s="136">
        <f>+'Expense Input'!S49</f>
        <v>0</v>
      </c>
      <c r="J182" s="129" t="str">
        <f t="shared" si="588"/>
        <v/>
      </c>
      <c r="L182" s="132">
        <f t="shared" si="550"/>
        <v>0</v>
      </c>
      <c r="M182" s="132">
        <f t="shared" si="551"/>
        <v>0</v>
      </c>
      <c r="N182" s="130"/>
      <c r="O182" s="136"/>
      <c r="P182" s="136">
        <f t="shared" si="568"/>
        <v>0</v>
      </c>
      <c r="Q182" s="136">
        <f t="shared" si="552"/>
        <v>0</v>
      </c>
      <c r="R182" s="136">
        <f t="shared" si="553"/>
        <v>0</v>
      </c>
      <c r="S182" s="136">
        <f t="shared" si="554"/>
        <v>0</v>
      </c>
      <c r="T182" s="136">
        <f t="shared" si="443"/>
        <v>0</v>
      </c>
      <c r="U182" s="136">
        <f t="shared" si="443"/>
        <v>0</v>
      </c>
      <c r="V182" s="136">
        <f t="shared" si="555"/>
        <v>0</v>
      </c>
      <c r="W182" s="136">
        <f t="shared" si="556"/>
        <v>0</v>
      </c>
      <c r="X182" s="130">
        <f t="shared" si="557"/>
        <v>0</v>
      </c>
      <c r="Z182" s="103">
        <f t="shared" si="580"/>
        <v>0</v>
      </c>
      <c r="AA182" s="103">
        <f t="shared" si="581"/>
        <v>0</v>
      </c>
      <c r="AB182" s="103">
        <f t="shared" si="581"/>
        <v>0</v>
      </c>
      <c r="AC182" s="77"/>
      <c r="AD182" s="103">
        <f t="shared" si="582"/>
        <v>0</v>
      </c>
      <c r="AE182" s="103">
        <f t="shared" si="583"/>
        <v>0</v>
      </c>
      <c r="AF182" s="103">
        <f t="shared" si="583"/>
        <v>0</v>
      </c>
      <c r="AG182" s="77"/>
      <c r="AH182" s="103">
        <f t="shared" si="584"/>
        <v>0</v>
      </c>
      <c r="AI182" s="103">
        <f t="shared" si="585"/>
        <v>0</v>
      </c>
      <c r="AJ182" s="103">
        <f t="shared" si="585"/>
        <v>0</v>
      </c>
      <c r="AK182" s="77"/>
      <c r="AL182" s="103">
        <f t="shared" si="586"/>
        <v>0</v>
      </c>
      <c r="AM182" s="103">
        <f t="shared" si="587"/>
        <v>0</v>
      </c>
      <c r="AN182" s="103">
        <f t="shared" si="587"/>
        <v>0</v>
      </c>
      <c r="AO182" s="165" t="s">
        <v>42</v>
      </c>
    </row>
    <row r="183" spans="1:41" s="129" customFormat="1" ht="13.2" hidden="1" customHeight="1" x14ac:dyDescent="0.25">
      <c r="A183" s="131"/>
      <c r="B183" s="134">
        <f>+'Expense Input'!B50</f>
        <v>100</v>
      </c>
      <c r="C183" s="134">
        <f>+'Expense Input'!C50</f>
        <v>4000</v>
      </c>
      <c r="D183" s="134">
        <f>+'Expense Input'!D50</f>
        <v>5500</v>
      </c>
      <c r="E183" s="134">
        <f>+'Expense Input'!E50</f>
        <v>640</v>
      </c>
      <c r="F183" s="134" t="str">
        <f>+'Expense Input'!F50</f>
        <v>Furniture &amp; Equipment</v>
      </c>
      <c r="G183" s="136">
        <f>+'Expense Input'!Q50</f>
        <v>0</v>
      </c>
      <c r="H183" s="136">
        <f>+'Expense Input'!R50</f>
        <v>0</v>
      </c>
      <c r="I183" s="136">
        <f>+'Expense Input'!S50</f>
        <v>0</v>
      </c>
      <c r="J183" s="129" t="str">
        <f t="shared" si="588"/>
        <v/>
      </c>
      <c r="L183" s="132">
        <f t="shared" si="550"/>
        <v>0</v>
      </c>
      <c r="M183" s="132">
        <f t="shared" si="551"/>
        <v>0</v>
      </c>
      <c r="N183" s="130"/>
      <c r="O183" s="136"/>
      <c r="P183" s="136">
        <f t="shared" si="568"/>
        <v>0</v>
      </c>
      <c r="Q183" s="136">
        <f t="shared" si="552"/>
        <v>0</v>
      </c>
      <c r="R183" s="136">
        <f t="shared" si="553"/>
        <v>0</v>
      </c>
      <c r="S183" s="136">
        <f t="shared" si="554"/>
        <v>0</v>
      </c>
      <c r="T183" s="136">
        <f t="shared" si="443"/>
        <v>0</v>
      </c>
      <c r="U183" s="136">
        <f t="shared" si="443"/>
        <v>0</v>
      </c>
      <c r="V183" s="136">
        <f t="shared" si="555"/>
        <v>0</v>
      </c>
      <c r="W183" s="136">
        <f t="shared" si="556"/>
        <v>0</v>
      </c>
      <c r="X183" s="130">
        <f t="shared" si="557"/>
        <v>0</v>
      </c>
      <c r="Z183" s="103">
        <f t="shared" si="580"/>
        <v>0</v>
      </c>
      <c r="AA183" s="103">
        <f t="shared" si="581"/>
        <v>0</v>
      </c>
      <c r="AB183" s="103">
        <f t="shared" si="581"/>
        <v>0</v>
      </c>
      <c r="AC183" s="77"/>
      <c r="AD183" s="103">
        <f t="shared" si="582"/>
        <v>0</v>
      </c>
      <c r="AE183" s="103">
        <f t="shared" si="583"/>
        <v>0</v>
      </c>
      <c r="AF183" s="103">
        <f t="shared" si="583"/>
        <v>0</v>
      </c>
      <c r="AG183" s="77"/>
      <c r="AH183" s="103">
        <f t="shared" si="584"/>
        <v>0</v>
      </c>
      <c r="AI183" s="103">
        <f t="shared" si="585"/>
        <v>0</v>
      </c>
      <c r="AJ183" s="103">
        <f t="shared" si="585"/>
        <v>0</v>
      </c>
      <c r="AK183" s="77"/>
      <c r="AL183" s="103">
        <f t="shared" si="586"/>
        <v>0</v>
      </c>
      <c r="AM183" s="103">
        <f t="shared" si="587"/>
        <v>0</v>
      </c>
      <c r="AN183" s="103">
        <f t="shared" si="587"/>
        <v>0</v>
      </c>
      <c r="AO183" s="165" t="s">
        <v>42</v>
      </c>
    </row>
    <row r="184" spans="1:41" s="129" customFormat="1" ht="13.2" hidden="1" customHeight="1" x14ac:dyDescent="0.25">
      <c r="A184" s="131"/>
      <c r="B184" s="134">
        <f>+'Expense Input'!B51</f>
        <v>100</v>
      </c>
      <c r="C184" s="134">
        <f>+'Expense Input'!C51</f>
        <v>4000</v>
      </c>
      <c r="D184" s="134">
        <f>+'Expense Input'!D51</f>
        <v>5500</v>
      </c>
      <c r="E184" s="134">
        <f>+'Expense Input'!E51</f>
        <v>750</v>
      </c>
      <c r="F184" s="134" t="str">
        <f>+'Expense Input'!F51</f>
        <v>Substitute Teachers</v>
      </c>
      <c r="G184" s="136">
        <f>+'Expense Input'!Q51</f>
        <v>0</v>
      </c>
      <c r="H184" s="136">
        <f>+'Expense Input'!R51</f>
        <v>0</v>
      </c>
      <c r="I184" s="136">
        <f>+'Expense Input'!S51</f>
        <v>0</v>
      </c>
      <c r="J184" s="129" t="str">
        <f t="shared" ref="J184" si="589">IF(G184&gt;0.49,"*","")</f>
        <v/>
      </c>
      <c r="L184" s="132">
        <f t="shared" ref="L184" si="590">IF(E184&lt;300,G184,0)</f>
        <v>0</v>
      </c>
      <c r="M184" s="132">
        <f t="shared" ref="M184" si="591">IF(E184&gt;299,G184,0)</f>
        <v>0</v>
      </c>
      <c r="N184" s="130"/>
      <c r="O184" s="136"/>
      <c r="P184" s="136">
        <f t="shared" ref="P184" si="592">IF(B184=490,G184,0)</f>
        <v>0</v>
      </c>
      <c r="Q184" s="136">
        <f t="shared" ref="Q184" si="593">IF(B184=410,H184,0)</f>
        <v>0</v>
      </c>
      <c r="R184" s="136">
        <f t="shared" ref="R184" si="594">IF(B184=432,H184,0)</f>
        <v>0</v>
      </c>
      <c r="S184" s="136">
        <f t="shared" ref="S184" si="595">IF(B184=432,I184,0)</f>
        <v>0</v>
      </c>
      <c r="T184" s="136">
        <f t="shared" si="443"/>
        <v>0</v>
      </c>
      <c r="U184" s="136">
        <f t="shared" si="443"/>
        <v>0</v>
      </c>
      <c r="V184" s="136">
        <f t="shared" ref="V184" si="596">IF(B184=360,I184,0)</f>
        <v>0</v>
      </c>
      <c r="W184" s="136">
        <f t="shared" ref="W184" si="597">IF(B184=410,I184,0)</f>
        <v>0</v>
      </c>
      <c r="X184" s="130">
        <f t="shared" ref="X184" si="598">+W184+Q184-O184</f>
        <v>0</v>
      </c>
      <c r="Z184" s="103">
        <f t="shared" si="580"/>
        <v>0</v>
      </c>
      <c r="AA184" s="103">
        <f t="shared" si="581"/>
        <v>0</v>
      </c>
      <c r="AB184" s="103">
        <f t="shared" si="581"/>
        <v>0</v>
      </c>
      <c r="AC184" s="77"/>
      <c r="AD184" s="103">
        <f t="shared" si="582"/>
        <v>0</v>
      </c>
      <c r="AE184" s="103">
        <f t="shared" si="583"/>
        <v>0</v>
      </c>
      <c r="AF184" s="103">
        <f t="shared" si="583"/>
        <v>0</v>
      </c>
      <c r="AG184" s="77"/>
      <c r="AH184" s="103">
        <f t="shared" si="584"/>
        <v>0</v>
      </c>
      <c r="AI184" s="103">
        <f t="shared" si="585"/>
        <v>0</v>
      </c>
      <c r="AJ184" s="103">
        <f t="shared" si="585"/>
        <v>0</v>
      </c>
      <c r="AK184" s="77"/>
      <c r="AL184" s="103">
        <f t="shared" si="586"/>
        <v>0</v>
      </c>
      <c r="AM184" s="103">
        <f t="shared" si="587"/>
        <v>0</v>
      </c>
      <c r="AN184" s="103">
        <f t="shared" si="587"/>
        <v>0</v>
      </c>
      <c r="AO184" s="165" t="s">
        <v>42</v>
      </c>
    </row>
    <row r="185" spans="1:41" s="129" customFormat="1" ht="13.2" hidden="1" customHeight="1" x14ac:dyDescent="0.25">
      <c r="A185" s="131"/>
      <c r="B185" s="134"/>
      <c r="C185" s="134"/>
      <c r="D185" s="134"/>
      <c r="E185" s="134"/>
      <c r="F185" s="134"/>
      <c r="G185" s="136"/>
      <c r="H185" s="136"/>
      <c r="I185" s="136"/>
      <c r="J185" s="129" t="str">
        <f t="shared" ref="J185" si="599">IF(G185&gt;0.49,"*","")</f>
        <v/>
      </c>
      <c r="L185" s="132">
        <f t="shared" si="550"/>
        <v>0</v>
      </c>
      <c r="M185" s="132">
        <f t="shared" si="551"/>
        <v>0</v>
      </c>
      <c r="N185" s="130"/>
      <c r="O185" s="136"/>
      <c r="P185" s="136">
        <f t="shared" si="568"/>
        <v>0</v>
      </c>
      <c r="Q185" s="136">
        <f t="shared" si="552"/>
        <v>0</v>
      </c>
      <c r="R185" s="136">
        <f t="shared" si="553"/>
        <v>0</v>
      </c>
      <c r="S185" s="136">
        <f t="shared" si="554"/>
        <v>0</v>
      </c>
      <c r="T185" s="136">
        <f t="shared" si="443"/>
        <v>0</v>
      </c>
      <c r="U185" s="136">
        <f t="shared" si="443"/>
        <v>0</v>
      </c>
      <c r="V185" s="136">
        <f t="shared" si="555"/>
        <v>0</v>
      </c>
      <c r="W185" s="136">
        <f t="shared" si="556"/>
        <v>0</v>
      </c>
      <c r="X185" s="130">
        <f t="shared" si="557"/>
        <v>0</v>
      </c>
      <c r="Z185" s="136"/>
      <c r="AA185" s="136"/>
      <c r="AB185" s="136"/>
      <c r="AD185" s="136"/>
      <c r="AE185" s="136"/>
      <c r="AF185" s="136"/>
      <c r="AH185" s="136"/>
      <c r="AI185" s="136"/>
      <c r="AJ185" s="136"/>
      <c r="AL185" s="136"/>
      <c r="AM185" s="136"/>
      <c r="AN185" s="136"/>
      <c r="AO185" s="165"/>
    </row>
    <row r="186" spans="1:41" hidden="1" x14ac:dyDescent="0.25">
      <c r="A186" s="131"/>
      <c r="B186" s="63"/>
      <c r="C186" s="63"/>
      <c r="D186" s="63"/>
      <c r="E186" s="63"/>
      <c r="F186" s="63"/>
      <c r="G186" s="65"/>
      <c r="H186" s="65"/>
      <c r="I186" s="65"/>
      <c r="J186" s="129" t="str">
        <f>IF(J187="*","*","")</f>
        <v/>
      </c>
      <c r="L186" s="132">
        <f t="shared" si="550"/>
        <v>0</v>
      </c>
      <c r="M186" s="132">
        <f t="shared" si="551"/>
        <v>0</v>
      </c>
      <c r="N186" s="130"/>
      <c r="O186" s="136"/>
      <c r="P186" s="136">
        <f>IF(B186=432,G186,0)</f>
        <v>0</v>
      </c>
      <c r="Q186" s="136">
        <f t="shared" si="552"/>
        <v>0</v>
      </c>
      <c r="R186" s="136">
        <f t="shared" si="553"/>
        <v>0</v>
      </c>
      <c r="S186" s="136">
        <f t="shared" si="554"/>
        <v>0</v>
      </c>
      <c r="T186" s="136">
        <f t="shared" si="443"/>
        <v>0</v>
      </c>
      <c r="U186" s="136">
        <f t="shared" si="443"/>
        <v>0</v>
      </c>
      <c r="V186" s="136">
        <f t="shared" si="555"/>
        <v>0</v>
      </c>
      <c r="W186" s="136">
        <f t="shared" si="556"/>
        <v>0</v>
      </c>
      <c r="X186" s="130">
        <f t="shared" si="557"/>
        <v>0</v>
      </c>
      <c r="Z186" s="65"/>
      <c r="AA186" s="65"/>
      <c r="AB186" s="65"/>
      <c r="AD186" s="65"/>
      <c r="AE186" s="65"/>
      <c r="AF186" s="65"/>
      <c r="AH186" s="65"/>
      <c r="AI186" s="65"/>
      <c r="AJ186" s="65"/>
      <c r="AL186" s="65"/>
      <c r="AM186" s="65"/>
      <c r="AN186" s="65"/>
      <c r="AO186" s="165"/>
    </row>
    <row r="187" spans="1:41" hidden="1" x14ac:dyDescent="0.25">
      <c r="A187" s="131"/>
      <c r="F187" s="85" t="s">
        <v>62</v>
      </c>
      <c r="G187" s="86">
        <f>SUM(G171:G186)</f>
        <v>0</v>
      </c>
      <c r="H187" s="86">
        <f t="shared" ref="H187:I187" si="600">SUM(H171:H186)</f>
        <v>0</v>
      </c>
      <c r="I187" s="86">
        <f t="shared" si="600"/>
        <v>0</v>
      </c>
      <c r="J187" s="129" t="str">
        <f>IF(G187&gt;0.49,"*","")</f>
        <v/>
      </c>
      <c r="L187" s="86">
        <f t="shared" ref="L187" si="601">SUM(L171:L186)</f>
        <v>0</v>
      </c>
      <c r="M187" s="86">
        <f t="shared" ref="M187" si="602">SUM(M171:M186)</f>
        <v>0</v>
      </c>
      <c r="N187" s="130"/>
      <c r="O187" s="86">
        <f t="shared" ref="O187" si="603">SUM(O171:O186)</f>
        <v>0</v>
      </c>
      <c r="P187" s="86">
        <f t="shared" ref="P187" si="604">SUM(P171:P186)</f>
        <v>0</v>
      </c>
      <c r="Q187" s="86">
        <f t="shared" ref="Q187" si="605">SUM(Q171:Q186)</f>
        <v>0</v>
      </c>
      <c r="R187" s="86">
        <f t="shared" ref="R187:U187" si="606">SUM(R171:R186)</f>
        <v>0</v>
      </c>
      <c r="S187" s="86">
        <f t="shared" si="606"/>
        <v>0</v>
      </c>
      <c r="T187" s="86">
        <f t="shared" si="606"/>
        <v>0</v>
      </c>
      <c r="U187" s="86">
        <f t="shared" si="606"/>
        <v>0</v>
      </c>
      <c r="V187" s="86">
        <f t="shared" ref="V187" si="607">SUM(V171:V186)</f>
        <v>0</v>
      </c>
      <c r="W187" s="86">
        <f t="shared" ref="W187" si="608">SUM(W171:W186)</f>
        <v>0</v>
      </c>
      <c r="X187" s="86">
        <f t="shared" ref="X187" si="609">SUM(X171:X186)</f>
        <v>0</v>
      </c>
      <c r="Z187" s="86" t="e">
        <f>SUM(Z171:Z186)</f>
        <v>#DIV/0!</v>
      </c>
      <c r="AA187" s="86" t="e">
        <f t="shared" ref="AA187:AB187" si="610">SUM(AA171:AA186)</f>
        <v>#DIV/0!</v>
      </c>
      <c r="AB187" s="86">
        <f t="shared" si="610"/>
        <v>0</v>
      </c>
      <c r="AD187" s="86" t="e">
        <f>SUM(AD171:AD186)</f>
        <v>#REF!</v>
      </c>
      <c r="AE187" s="86" t="e">
        <f t="shared" ref="AE187:AF187" si="611">SUM(AE171:AE186)</f>
        <v>#DIV/0!</v>
      </c>
      <c r="AF187" s="86">
        <f t="shared" si="611"/>
        <v>0</v>
      </c>
      <c r="AH187" s="86" t="e">
        <f>SUM(AH171:AH186)</f>
        <v>#REF!</v>
      </c>
      <c r="AI187" s="86" t="e">
        <f t="shared" ref="AI187:AJ187" si="612">SUM(AI171:AI186)</f>
        <v>#DIV/0!</v>
      </c>
      <c r="AJ187" s="86">
        <f t="shared" si="612"/>
        <v>0</v>
      </c>
      <c r="AL187" s="86" t="e">
        <f>SUM(AL171:AL186)</f>
        <v>#REF!</v>
      </c>
      <c r="AM187" s="86" t="e">
        <f t="shared" ref="AM187:AN187" si="613">SUM(AM171:AM186)</f>
        <v>#DIV/0!</v>
      </c>
      <c r="AN187" s="86">
        <f t="shared" si="613"/>
        <v>0</v>
      </c>
      <c r="AO187" s="165"/>
    </row>
    <row r="188" spans="1:41" x14ac:dyDescent="0.25">
      <c r="A188" s="131"/>
      <c r="B188" s="77"/>
      <c r="C188" s="77"/>
      <c r="D188" s="77"/>
      <c r="E188" s="77"/>
      <c r="F188" s="89"/>
      <c r="J188" s="129" t="str">
        <f>IF(J169="*","*","")</f>
        <v>*</v>
      </c>
      <c r="L188" s="132">
        <f t="shared" si="194"/>
        <v>0</v>
      </c>
      <c r="M188" s="132">
        <f t="shared" ref="M188:M212" si="614">IF(E188&gt;299,G188,0)</f>
        <v>0</v>
      </c>
      <c r="N188" s="130"/>
      <c r="O188" s="136"/>
      <c r="P188" s="136">
        <f>IF(B188=432,G188,0)</f>
        <v>0</v>
      </c>
      <c r="Q188" s="136">
        <f t="shared" ref="Q188:Q212" si="615">IF(B188=410,H188,0)</f>
        <v>0</v>
      </c>
      <c r="R188" s="136">
        <f t="shared" ref="R188:R212" si="616">IF(B188=432,H188,0)</f>
        <v>0</v>
      </c>
      <c r="S188" s="136">
        <f t="shared" ref="S188:S212" si="617">IF(B188=432,I188,0)</f>
        <v>0</v>
      </c>
      <c r="T188" s="136">
        <f t="shared" si="443"/>
        <v>0</v>
      </c>
      <c r="U188" s="136">
        <f t="shared" si="443"/>
        <v>0</v>
      </c>
      <c r="V188" s="136">
        <f t="shared" ref="V188:V212" si="618">IF(B188=360,I188,0)</f>
        <v>0</v>
      </c>
      <c r="W188" s="136">
        <f t="shared" ref="W188:W212" si="619">IF(B188=410,I188,0)</f>
        <v>0</v>
      </c>
      <c r="X188" s="130">
        <f t="shared" si="305"/>
        <v>0</v>
      </c>
      <c r="AO188" s="165"/>
    </row>
    <row r="189" spans="1:41" x14ac:dyDescent="0.25">
      <c r="A189" s="131">
        <v>1</v>
      </c>
      <c r="B189" s="63">
        <v>100</v>
      </c>
      <c r="C189" s="63">
        <v>4000</v>
      </c>
      <c r="D189" s="63">
        <v>6120</v>
      </c>
      <c r="E189" s="63">
        <v>130</v>
      </c>
      <c r="F189" s="63" t="s">
        <v>63</v>
      </c>
      <c r="G189" s="88">
        <f>+'Payroll Input'!H99-G190-G191</f>
        <v>70045.51999999999</v>
      </c>
      <c r="H189" s="88">
        <f>+SUM('Payroll Input'!H92:H94)-H190-H191</f>
        <v>26709.69</v>
      </c>
      <c r="I189" s="88">
        <f>SUM('Payroll Input'!H96:H98)-I190-I191</f>
        <v>43335.83</v>
      </c>
      <c r="J189" s="129" t="str">
        <f t="shared" ref="J189:J211" si="620">IF(G189&gt;0.49,"*","")</f>
        <v>*</v>
      </c>
      <c r="L189" s="132">
        <f t="shared" si="194"/>
        <v>70045.51999999999</v>
      </c>
      <c r="M189" s="132">
        <f t="shared" si="614"/>
        <v>0</v>
      </c>
      <c r="N189" s="130"/>
      <c r="O189" s="136"/>
      <c r="P189" s="136">
        <f t="shared" ref="P189:P211" si="621">IF(B189=490,G189,0)</f>
        <v>0</v>
      </c>
      <c r="Q189" s="136">
        <f t="shared" si="615"/>
        <v>0</v>
      </c>
      <c r="R189" s="136">
        <f t="shared" si="616"/>
        <v>0</v>
      </c>
      <c r="S189" s="136">
        <f t="shared" si="617"/>
        <v>0</v>
      </c>
      <c r="T189" s="136">
        <f t="shared" si="443"/>
        <v>0</v>
      </c>
      <c r="U189" s="136">
        <f t="shared" si="443"/>
        <v>0</v>
      </c>
      <c r="V189" s="136">
        <f t="shared" si="618"/>
        <v>0</v>
      </c>
      <c r="W189" s="136">
        <f t="shared" si="619"/>
        <v>0</v>
      </c>
      <c r="X189" s="130">
        <f t="shared" si="305"/>
        <v>0</v>
      </c>
      <c r="Z189" s="88">
        <f t="shared" ref="Z189:Z205" si="622">AA189+AB189</f>
        <v>70312.616899999994</v>
      </c>
      <c r="AA189" s="132">
        <f>+H189*Inf</f>
        <v>26976.786899999999</v>
      </c>
      <c r="AB189" s="132">
        <f t="shared" ref="AB189" si="623">+I189</f>
        <v>43335.83</v>
      </c>
      <c r="AC189" s="129"/>
      <c r="AD189" s="88">
        <f t="shared" ref="AD189:AD205" si="624">AE189+AF189</f>
        <v>71015.743069000004</v>
      </c>
      <c r="AE189" s="132">
        <f>AA189*Inf</f>
        <v>27246.554768999998</v>
      </c>
      <c r="AF189" s="132">
        <f>AB189*Inf</f>
        <v>43769.188300000002</v>
      </c>
      <c r="AG189" s="129"/>
      <c r="AH189" s="88">
        <f t="shared" ref="AH189:AH205" si="625">AI189+AJ189</f>
        <v>71725.900499690004</v>
      </c>
      <c r="AI189" s="132">
        <f>AE189*Inf</f>
        <v>27519.020316689999</v>
      </c>
      <c r="AJ189" s="132">
        <f>AF189*Inf</f>
        <v>44206.880183000001</v>
      </c>
      <c r="AK189" s="129"/>
      <c r="AL189" s="88">
        <f t="shared" ref="AL189:AL205" si="626">AM189+AN189</f>
        <v>72443.159504686904</v>
      </c>
      <c r="AM189" s="132">
        <f>AI189*Inf</f>
        <v>27794.210519856901</v>
      </c>
      <c r="AN189" s="132">
        <f>AJ189*Inf</f>
        <v>44648.94898483</v>
      </c>
      <c r="AO189" s="165" t="s">
        <v>35</v>
      </c>
    </row>
    <row r="190" spans="1:41" x14ac:dyDescent="0.25">
      <c r="A190" s="131">
        <v>1</v>
      </c>
      <c r="B190" s="63">
        <v>432</v>
      </c>
      <c r="C190" s="63">
        <v>4000</v>
      </c>
      <c r="D190" s="63">
        <v>6120</v>
      </c>
      <c r="E190" s="63">
        <v>130</v>
      </c>
      <c r="F190" s="63" t="s">
        <v>63</v>
      </c>
      <c r="G190" s="103">
        <f>+H190+I190</f>
        <v>47250</v>
      </c>
      <c r="H190" s="81">
        <v>23625</v>
      </c>
      <c r="I190" s="81">
        <v>23625</v>
      </c>
      <c r="J190" s="129" t="str">
        <f>IF(G190&gt;0.49,"*","")</f>
        <v>*</v>
      </c>
      <c r="L190" s="132">
        <f>IF(E190&lt;300,G190,0)</f>
        <v>47250</v>
      </c>
      <c r="M190" s="132">
        <f>IF(E190&gt;299,G190,0)</f>
        <v>0</v>
      </c>
      <c r="N190" s="130"/>
      <c r="O190" s="136"/>
      <c r="P190" s="136">
        <f>IF(B190=490,G190,0)</f>
        <v>0</v>
      </c>
      <c r="Q190" s="136">
        <f>IF(B190=410,H190,0)</f>
        <v>0</v>
      </c>
      <c r="R190" s="136">
        <f>IF(B190=432,H190,0)</f>
        <v>23625</v>
      </c>
      <c r="S190" s="136">
        <f>IF(B190=432,I190,0)</f>
        <v>23625</v>
      </c>
      <c r="T190" s="136">
        <f t="shared" si="443"/>
        <v>0</v>
      </c>
      <c r="U190" s="136">
        <f t="shared" si="443"/>
        <v>0</v>
      </c>
      <c r="V190" s="136">
        <f>IF(B190=360,I190,0)</f>
        <v>0</v>
      </c>
      <c r="W190" s="136">
        <f>IF(B190=410,I190,0)</f>
        <v>0</v>
      </c>
      <c r="X190" s="130">
        <f>+W190+Q190-O190</f>
        <v>0</v>
      </c>
      <c r="Z190" s="103">
        <f>AA190+AB190</f>
        <v>47722.5</v>
      </c>
      <c r="AA190" s="103">
        <f>+H190*Inf</f>
        <v>23861.25</v>
      </c>
      <c r="AB190" s="103">
        <f>+I190*Inf</f>
        <v>23861.25</v>
      </c>
      <c r="AD190" s="103">
        <f>AE190+AF190</f>
        <v>48199.724999999999</v>
      </c>
      <c r="AE190" s="103">
        <f>+AA190*Inf</f>
        <v>24099.862499999999</v>
      </c>
      <c r="AF190" s="103">
        <f>+AB190*Inf</f>
        <v>24099.862499999999</v>
      </c>
      <c r="AH190" s="103">
        <f>AI190+AJ190</f>
        <v>48681.722249999999</v>
      </c>
      <c r="AI190" s="103">
        <f>+AE190*Inf</f>
        <v>24340.861124999999</v>
      </c>
      <c r="AJ190" s="103">
        <f>+AF190*Inf</f>
        <v>24340.861124999999</v>
      </c>
      <c r="AL190" s="103">
        <f>AM190+AN190</f>
        <v>49168.539472500001</v>
      </c>
      <c r="AM190" s="103">
        <f>+AI190*Inf</f>
        <v>24584.26973625</v>
      </c>
      <c r="AN190" s="103">
        <f>+AJ190*Inf</f>
        <v>24584.26973625</v>
      </c>
      <c r="AO190" s="165" t="s">
        <v>35</v>
      </c>
    </row>
    <row r="191" spans="1:41" x14ac:dyDescent="0.25">
      <c r="A191" s="131">
        <v>1</v>
      </c>
      <c r="B191" s="63">
        <v>435</v>
      </c>
      <c r="C191" s="63">
        <v>4000</v>
      </c>
      <c r="D191" s="63">
        <v>6120</v>
      </c>
      <c r="E191" s="63">
        <v>130</v>
      </c>
      <c r="F191" s="63" t="s">
        <v>63</v>
      </c>
      <c r="G191" s="103">
        <f>+H191+I191</f>
        <v>25324.480000000003</v>
      </c>
      <c r="H191" s="81">
        <f>'Revenue Input'!P52</f>
        <v>17660.310000000001</v>
      </c>
      <c r="I191" s="81">
        <f>'Revenue Input'!Q52</f>
        <v>7664.17</v>
      </c>
      <c r="J191" s="129" t="str">
        <f>IF(G191&gt;0.49,"*","")</f>
        <v>*</v>
      </c>
      <c r="L191" s="132">
        <f>IF(E191&lt;300,G191,0)</f>
        <v>25324.480000000003</v>
      </c>
      <c r="M191" s="132">
        <f>IF(E191&gt;299,G191,0)</f>
        <v>0</v>
      </c>
      <c r="N191" s="130"/>
      <c r="O191" s="136"/>
      <c r="P191" s="136">
        <f>IF(B191=490,G191,0)</f>
        <v>0</v>
      </c>
      <c r="Q191" s="136">
        <f>IF(B191=410,H191,0)</f>
        <v>0</v>
      </c>
      <c r="R191" s="136">
        <f>IF(B191=432,H191,0)</f>
        <v>0</v>
      </c>
      <c r="S191" s="136">
        <f>IF(B191=432,I191,0)</f>
        <v>0</v>
      </c>
      <c r="T191" s="136">
        <f t="shared" si="443"/>
        <v>17660.310000000001</v>
      </c>
      <c r="U191" s="136">
        <f t="shared" si="443"/>
        <v>7664.17</v>
      </c>
      <c r="V191" s="136">
        <f>IF(B191=360,I191,0)</f>
        <v>0</v>
      </c>
      <c r="W191" s="136">
        <f>IF(B191=410,I191,0)</f>
        <v>0</v>
      </c>
      <c r="X191" s="130">
        <f>+W191+Q191-O191</f>
        <v>0</v>
      </c>
      <c r="Z191" s="103">
        <f>AA191+AB191</f>
        <v>25577.724800000004</v>
      </c>
      <c r="AA191" s="103">
        <f>+H191*Inf</f>
        <v>17836.913100000002</v>
      </c>
      <c r="AB191" s="103">
        <f>+I191*Inf</f>
        <v>7740.8117000000002</v>
      </c>
      <c r="AD191" s="103">
        <f>AE191+AF191</f>
        <v>25833.502048000002</v>
      </c>
      <c r="AE191" s="103">
        <f>+AA191*Inf</f>
        <v>18015.282231000001</v>
      </c>
      <c r="AF191" s="103">
        <f>+AB191*Inf</f>
        <v>7818.2198170000001</v>
      </c>
      <c r="AH191" s="103">
        <f>AI191+AJ191</f>
        <v>26091.837068480003</v>
      </c>
      <c r="AI191" s="103">
        <f>+AE191*Inf</f>
        <v>18195.435053310001</v>
      </c>
      <c r="AJ191" s="103">
        <f>+AF191*Inf</f>
        <v>7896.4020151700006</v>
      </c>
      <c r="AL191" s="103">
        <f>AM191+AN191</f>
        <v>26352.755439164801</v>
      </c>
      <c r="AM191" s="103">
        <f>+AI191*Inf</f>
        <v>18377.389403843099</v>
      </c>
      <c r="AN191" s="103">
        <f>+AJ191*Inf</f>
        <v>7975.366035321701</v>
      </c>
      <c r="AO191" s="165" t="s">
        <v>35</v>
      </c>
    </row>
    <row r="192" spans="1:41" s="1" customFormat="1" x14ac:dyDescent="0.25">
      <c r="A192" s="131">
        <v>1</v>
      </c>
      <c r="B192" s="134">
        <v>100</v>
      </c>
      <c r="C192" s="134">
        <v>4000</v>
      </c>
      <c r="D192" s="63">
        <v>6120</v>
      </c>
      <c r="E192" s="134">
        <v>210</v>
      </c>
      <c r="F192" s="134" t="s">
        <v>45</v>
      </c>
      <c r="G192" s="132">
        <f>+'Payroll Input'!I$99-G193-G194</f>
        <v>11358.566999999999</v>
      </c>
      <c r="H192" s="81">
        <f>SUM('Payroll Input'!I$92:I$94)-H193-H194</f>
        <v>5284.4670000000006</v>
      </c>
      <c r="I192" s="81">
        <f>SUM('Payroll Input'!I$96:I$98)-I193-I194</f>
        <v>6074.1</v>
      </c>
      <c r="J192" s="129" t="str">
        <f t="shared" si="620"/>
        <v>*</v>
      </c>
      <c r="K192" s="129"/>
      <c r="L192" s="132">
        <f t="shared" si="194"/>
        <v>11358.566999999999</v>
      </c>
      <c r="M192" s="132">
        <f t="shared" si="614"/>
        <v>0</v>
      </c>
      <c r="N192" s="130"/>
      <c r="O192" s="136"/>
      <c r="P192" s="136">
        <f t="shared" si="621"/>
        <v>0</v>
      </c>
      <c r="Q192" s="136">
        <f t="shared" si="615"/>
        <v>0</v>
      </c>
      <c r="R192" s="136">
        <f t="shared" si="616"/>
        <v>0</v>
      </c>
      <c r="S192" s="136">
        <f t="shared" si="617"/>
        <v>0</v>
      </c>
      <c r="T192" s="136">
        <f t="shared" si="443"/>
        <v>0</v>
      </c>
      <c r="U192" s="136">
        <f t="shared" si="443"/>
        <v>0</v>
      </c>
      <c r="V192" s="136">
        <f t="shared" si="618"/>
        <v>0</v>
      </c>
      <c r="W192" s="136">
        <f t="shared" si="619"/>
        <v>0</v>
      </c>
      <c r="X192" s="130">
        <f t="shared" si="305"/>
        <v>0</v>
      </c>
      <c r="Y192" s="129"/>
      <c r="Z192" s="88">
        <f t="shared" si="622"/>
        <v>7031.2616900000012</v>
      </c>
      <c r="AA192" s="132">
        <f t="shared" ref="AA192:AB194" si="627">SUM(AA$189)*10%</f>
        <v>2697.6786900000002</v>
      </c>
      <c r="AB192" s="132">
        <f t="shared" si="627"/>
        <v>4333.5830000000005</v>
      </c>
      <c r="AC192" s="129"/>
      <c r="AD192" s="88">
        <f t="shared" si="624"/>
        <v>7101.5743069</v>
      </c>
      <c r="AE192" s="132">
        <f t="shared" ref="AE192:AF194" si="628">SUM(AE$189)*10%</f>
        <v>2724.6554768999999</v>
      </c>
      <c r="AF192" s="132">
        <f t="shared" si="628"/>
        <v>4376.9188300000005</v>
      </c>
      <c r="AG192" s="129"/>
      <c r="AH192" s="88">
        <f t="shared" si="625"/>
        <v>7172.5900499690006</v>
      </c>
      <c r="AI192" s="132">
        <f t="shared" ref="AI192:AJ194" si="629">SUM(AI$189)*10%</f>
        <v>2751.9020316690003</v>
      </c>
      <c r="AJ192" s="132">
        <f t="shared" si="629"/>
        <v>4420.6880183000003</v>
      </c>
      <c r="AK192" s="129"/>
      <c r="AL192" s="88">
        <f t="shared" si="626"/>
        <v>7244.3159504686901</v>
      </c>
      <c r="AM192" s="132">
        <f t="shared" ref="AM192:AN194" si="630">SUM(AM$189)*10%</f>
        <v>2779.4210519856902</v>
      </c>
      <c r="AN192" s="132">
        <f t="shared" si="630"/>
        <v>4464.8948984830004</v>
      </c>
      <c r="AO192" s="165" t="s">
        <v>56</v>
      </c>
    </row>
    <row r="193" spans="1:41" s="129" customFormat="1" x14ac:dyDescent="0.25">
      <c r="A193" s="131">
        <v>1</v>
      </c>
      <c r="B193" s="63">
        <v>432</v>
      </c>
      <c r="C193" s="134">
        <v>4000</v>
      </c>
      <c r="D193" s="63">
        <v>6120</v>
      </c>
      <c r="E193" s="134">
        <v>210</v>
      </c>
      <c r="F193" s="134" t="s">
        <v>45</v>
      </c>
      <c r="G193" s="88">
        <f>+H193+I193</f>
        <v>5627.4749999999995</v>
      </c>
      <c r="H193" s="81">
        <f>+H190*11.91%</f>
        <v>2813.7374999999997</v>
      </c>
      <c r="I193" s="81">
        <f>+I190*11.91%</f>
        <v>2813.7374999999997</v>
      </c>
      <c r="J193" s="129" t="str">
        <f t="shared" ref="J193:J195" si="631">IF(G193&gt;0.49,"*","")</f>
        <v>*</v>
      </c>
      <c r="L193" s="132">
        <f t="shared" ref="L193:L195" si="632">IF(E193&lt;300,G193,0)</f>
        <v>5627.4749999999995</v>
      </c>
      <c r="M193" s="132">
        <f t="shared" ref="M193:M195" si="633">IF(E193&gt;299,G193,0)</f>
        <v>0</v>
      </c>
      <c r="N193" s="130"/>
      <c r="O193" s="136"/>
      <c r="P193" s="136">
        <f t="shared" ref="P193:P195" si="634">IF(B193=490,G193,0)</f>
        <v>0</v>
      </c>
      <c r="Q193" s="136">
        <f t="shared" ref="Q193:Q195" si="635">IF(B193=410,H193,0)</f>
        <v>0</v>
      </c>
      <c r="R193" s="136">
        <f t="shared" ref="R193:R195" si="636">IF(B193=432,H193,0)</f>
        <v>2813.7374999999997</v>
      </c>
      <c r="S193" s="136">
        <f t="shared" ref="S193:S195" si="637">IF(B193=432,I193,0)</f>
        <v>2813.7374999999997</v>
      </c>
      <c r="T193" s="136">
        <f t="shared" si="443"/>
        <v>0</v>
      </c>
      <c r="U193" s="136">
        <f t="shared" si="443"/>
        <v>0</v>
      </c>
      <c r="V193" s="136">
        <f t="shared" ref="V193:V195" si="638">IF(B193=360,I193,0)</f>
        <v>0</v>
      </c>
      <c r="W193" s="136">
        <f t="shared" ref="W193:W195" si="639">IF(B193=410,I193,0)</f>
        <v>0</v>
      </c>
      <c r="X193" s="130">
        <f t="shared" ref="X193:X195" si="640">+W193+Q193-O193</f>
        <v>0</v>
      </c>
      <c r="Z193" s="88">
        <f t="shared" ref="Z193:Z195" si="641">AA193+AB193</f>
        <v>7031.2616900000012</v>
      </c>
      <c r="AA193" s="132">
        <f t="shared" si="627"/>
        <v>2697.6786900000002</v>
      </c>
      <c r="AB193" s="132">
        <f t="shared" si="627"/>
        <v>4333.5830000000005</v>
      </c>
      <c r="AD193" s="88">
        <f t="shared" ref="AD193:AD195" si="642">AE193+AF193</f>
        <v>7101.5743069</v>
      </c>
      <c r="AE193" s="132">
        <f t="shared" si="628"/>
        <v>2724.6554768999999</v>
      </c>
      <c r="AF193" s="132">
        <f t="shared" si="628"/>
        <v>4376.9188300000005</v>
      </c>
      <c r="AH193" s="88">
        <f t="shared" ref="AH193:AH195" si="643">AI193+AJ193</f>
        <v>7172.5900499690006</v>
      </c>
      <c r="AI193" s="132">
        <f t="shared" si="629"/>
        <v>2751.9020316690003</v>
      </c>
      <c r="AJ193" s="132">
        <f t="shared" si="629"/>
        <v>4420.6880183000003</v>
      </c>
      <c r="AL193" s="88">
        <f t="shared" ref="AL193:AL195" si="644">AM193+AN193</f>
        <v>7244.3159504686901</v>
      </c>
      <c r="AM193" s="132">
        <f t="shared" si="630"/>
        <v>2779.4210519856902</v>
      </c>
      <c r="AN193" s="132">
        <f t="shared" si="630"/>
        <v>4464.8948984830004</v>
      </c>
      <c r="AO193" s="165" t="s">
        <v>56</v>
      </c>
    </row>
    <row r="194" spans="1:41" s="129" customFormat="1" hidden="1" x14ac:dyDescent="0.25">
      <c r="A194" s="131">
        <v>1</v>
      </c>
      <c r="B194" s="63">
        <v>435</v>
      </c>
      <c r="C194" s="134">
        <v>4000</v>
      </c>
      <c r="D194" s="63">
        <v>6120</v>
      </c>
      <c r="E194" s="134">
        <v>210</v>
      </c>
      <c r="F194" s="134" t="s">
        <v>45</v>
      </c>
      <c r="G194" s="88">
        <f>+H194+I194</f>
        <v>0</v>
      </c>
      <c r="H194" s="81">
        <v>0</v>
      </c>
      <c r="I194" s="81">
        <v>0</v>
      </c>
      <c r="J194" s="129" t="str">
        <f t="shared" ref="J194" si="645">IF(G194&gt;0.49,"*","")</f>
        <v/>
      </c>
      <c r="L194" s="132">
        <f t="shared" ref="L194" si="646">IF(E194&lt;300,G194,0)</f>
        <v>0</v>
      </c>
      <c r="M194" s="132">
        <f t="shared" ref="M194" si="647">IF(E194&gt;299,G194,0)</f>
        <v>0</v>
      </c>
      <c r="N194" s="130"/>
      <c r="O194" s="136"/>
      <c r="P194" s="136">
        <f t="shared" ref="P194" si="648">IF(B194=490,G194,0)</f>
        <v>0</v>
      </c>
      <c r="Q194" s="136">
        <f t="shared" ref="Q194" si="649">IF(B194=410,H194,0)</f>
        <v>0</v>
      </c>
      <c r="R194" s="136">
        <f t="shared" ref="R194" si="650">IF(B194=432,H194,0)</f>
        <v>0</v>
      </c>
      <c r="S194" s="136">
        <f t="shared" ref="S194" si="651">IF(B194=432,I194,0)</f>
        <v>0</v>
      </c>
      <c r="T194" s="136">
        <f t="shared" si="443"/>
        <v>0</v>
      </c>
      <c r="U194" s="136">
        <f t="shared" si="443"/>
        <v>0</v>
      </c>
      <c r="V194" s="136">
        <f t="shared" ref="V194" si="652">IF(B194=360,I194,0)</f>
        <v>0</v>
      </c>
      <c r="W194" s="136">
        <f t="shared" ref="W194" si="653">IF(B194=410,I194,0)</f>
        <v>0</v>
      </c>
      <c r="X194" s="130">
        <f t="shared" ref="X194" si="654">+W194+Q194-O194</f>
        <v>0</v>
      </c>
      <c r="Z194" s="88">
        <f t="shared" ref="Z194" si="655">AA194+AB194</f>
        <v>7031.2616900000012</v>
      </c>
      <c r="AA194" s="132">
        <f t="shared" si="627"/>
        <v>2697.6786900000002</v>
      </c>
      <c r="AB194" s="132">
        <f t="shared" si="627"/>
        <v>4333.5830000000005</v>
      </c>
      <c r="AD194" s="88">
        <f t="shared" ref="AD194" si="656">AE194+AF194</f>
        <v>7101.5743069</v>
      </c>
      <c r="AE194" s="132">
        <f t="shared" si="628"/>
        <v>2724.6554768999999</v>
      </c>
      <c r="AF194" s="132">
        <f t="shared" si="628"/>
        <v>4376.9188300000005</v>
      </c>
      <c r="AH194" s="88">
        <f t="shared" ref="AH194" si="657">AI194+AJ194</f>
        <v>7172.5900499690006</v>
      </c>
      <c r="AI194" s="132">
        <f t="shared" si="629"/>
        <v>2751.9020316690003</v>
      </c>
      <c r="AJ194" s="132">
        <f t="shared" si="629"/>
        <v>4420.6880183000003</v>
      </c>
      <c r="AL194" s="88">
        <f t="shared" ref="AL194" si="658">AM194+AN194</f>
        <v>7244.3159504686901</v>
      </c>
      <c r="AM194" s="132">
        <f t="shared" si="630"/>
        <v>2779.4210519856902</v>
      </c>
      <c r="AN194" s="132">
        <f t="shared" si="630"/>
        <v>4464.8948984830004</v>
      </c>
      <c r="AO194" s="165" t="s">
        <v>56</v>
      </c>
    </row>
    <row r="195" spans="1:41" x14ac:dyDescent="0.25">
      <c r="A195" s="131">
        <v>1</v>
      </c>
      <c r="B195" s="63">
        <v>100</v>
      </c>
      <c r="C195" s="63">
        <v>4000</v>
      </c>
      <c r="D195" s="63">
        <v>6120</v>
      </c>
      <c r="E195" s="63">
        <v>220</v>
      </c>
      <c r="F195" s="63" t="s">
        <v>47</v>
      </c>
      <c r="G195" s="132">
        <f>+'Payroll Input'!K$99-G196-G197</f>
        <v>7295.8050000000003</v>
      </c>
      <c r="H195" s="81">
        <f>SUM('Payroll Input'!K$92:K$94)-H196-H197</f>
        <v>3394.3050000000003</v>
      </c>
      <c r="I195" s="81">
        <f>SUM('Payroll Input'!K$96:K$98)-I196-I197</f>
        <v>3901.5</v>
      </c>
      <c r="J195" s="129" t="str">
        <f t="shared" si="631"/>
        <v>*</v>
      </c>
      <c r="L195" s="132">
        <f t="shared" si="632"/>
        <v>7295.8050000000003</v>
      </c>
      <c r="M195" s="132">
        <f t="shared" si="633"/>
        <v>0</v>
      </c>
      <c r="N195" s="130"/>
      <c r="O195" s="136"/>
      <c r="P195" s="136">
        <f t="shared" si="634"/>
        <v>0</v>
      </c>
      <c r="Q195" s="136">
        <f t="shared" si="635"/>
        <v>0</v>
      </c>
      <c r="R195" s="136">
        <f t="shared" si="636"/>
        <v>0</v>
      </c>
      <c r="S195" s="136">
        <f t="shared" si="637"/>
        <v>0</v>
      </c>
      <c r="T195" s="136">
        <f t="shared" si="443"/>
        <v>0</v>
      </c>
      <c r="U195" s="136">
        <f t="shared" si="443"/>
        <v>0</v>
      </c>
      <c r="V195" s="136">
        <f t="shared" si="638"/>
        <v>0</v>
      </c>
      <c r="W195" s="136">
        <f t="shared" si="639"/>
        <v>0</v>
      </c>
      <c r="X195" s="130">
        <f t="shared" si="640"/>
        <v>0</v>
      </c>
      <c r="Z195" s="88">
        <f t="shared" si="641"/>
        <v>5378.9151928499996</v>
      </c>
      <c r="AA195" s="132">
        <f t="shared" ref="AA195:AB197" si="659">SUM(AA$189)*7.65%</f>
        <v>2063.7241978500001</v>
      </c>
      <c r="AB195" s="132">
        <f t="shared" si="659"/>
        <v>3315.1909949999999</v>
      </c>
      <c r="AC195" s="129"/>
      <c r="AD195" s="88">
        <f t="shared" si="642"/>
        <v>5432.7043447784999</v>
      </c>
      <c r="AE195" s="132">
        <f t="shared" ref="AE195:AF197" si="660">SUM(AE$189)*7.65%</f>
        <v>2084.3614398284999</v>
      </c>
      <c r="AF195" s="132">
        <f t="shared" si="660"/>
        <v>3348.34290495</v>
      </c>
      <c r="AG195" s="129"/>
      <c r="AH195" s="88">
        <f t="shared" si="643"/>
        <v>5487.0313882262853</v>
      </c>
      <c r="AI195" s="132">
        <f t="shared" ref="AI195:AJ197" si="661">SUM(AI$189)*7.65%</f>
        <v>2105.2050542267848</v>
      </c>
      <c r="AJ195" s="132">
        <f t="shared" si="661"/>
        <v>3381.8263339995001</v>
      </c>
      <c r="AK195" s="129"/>
      <c r="AL195" s="88">
        <f t="shared" si="644"/>
        <v>5541.9017021085474</v>
      </c>
      <c r="AM195" s="132">
        <f t="shared" ref="AM195:AN197" si="662">SUM(AM$189)*7.65%</f>
        <v>2126.2571047690531</v>
      </c>
      <c r="AN195" s="132">
        <f t="shared" si="662"/>
        <v>3415.6445973394948</v>
      </c>
      <c r="AO195" s="165" t="s">
        <v>57</v>
      </c>
    </row>
    <row r="196" spans="1:41" x14ac:dyDescent="0.25">
      <c r="A196" s="131">
        <v>1</v>
      </c>
      <c r="B196" s="63">
        <v>432</v>
      </c>
      <c r="C196" s="63">
        <v>4000</v>
      </c>
      <c r="D196" s="63">
        <v>6120</v>
      </c>
      <c r="E196" s="63">
        <v>220</v>
      </c>
      <c r="F196" s="63" t="s">
        <v>47</v>
      </c>
      <c r="G196" s="88">
        <f>+H196+I196</f>
        <v>3614.625</v>
      </c>
      <c r="H196" s="81">
        <f>+H190*7.65%</f>
        <v>1807.3125</v>
      </c>
      <c r="I196" s="81">
        <f>+I190*7.65%</f>
        <v>1807.3125</v>
      </c>
      <c r="J196" s="129" t="str">
        <f t="shared" si="620"/>
        <v>*</v>
      </c>
      <c r="L196" s="132">
        <f t="shared" si="194"/>
        <v>3614.625</v>
      </c>
      <c r="M196" s="132">
        <f t="shared" si="614"/>
        <v>0</v>
      </c>
      <c r="N196" s="130"/>
      <c r="O196" s="136"/>
      <c r="P196" s="136">
        <f t="shared" si="621"/>
        <v>0</v>
      </c>
      <c r="Q196" s="136">
        <f t="shared" si="615"/>
        <v>0</v>
      </c>
      <c r="R196" s="136">
        <f t="shared" si="616"/>
        <v>1807.3125</v>
      </c>
      <c r="S196" s="136">
        <f t="shared" si="617"/>
        <v>1807.3125</v>
      </c>
      <c r="T196" s="136">
        <f t="shared" si="443"/>
        <v>0</v>
      </c>
      <c r="U196" s="136">
        <f t="shared" si="443"/>
        <v>0</v>
      </c>
      <c r="V196" s="136">
        <f t="shared" si="618"/>
        <v>0</v>
      </c>
      <c r="W196" s="136">
        <f t="shared" si="619"/>
        <v>0</v>
      </c>
      <c r="X196" s="130">
        <f t="shared" si="305"/>
        <v>0</v>
      </c>
      <c r="Z196" s="88">
        <f t="shared" si="622"/>
        <v>5378.9151928499996</v>
      </c>
      <c r="AA196" s="132">
        <f t="shared" si="659"/>
        <v>2063.7241978500001</v>
      </c>
      <c r="AB196" s="132">
        <f t="shared" si="659"/>
        <v>3315.1909949999999</v>
      </c>
      <c r="AC196" s="129"/>
      <c r="AD196" s="88">
        <f t="shared" si="624"/>
        <v>5432.7043447784999</v>
      </c>
      <c r="AE196" s="132">
        <f t="shared" si="660"/>
        <v>2084.3614398284999</v>
      </c>
      <c r="AF196" s="132">
        <f t="shared" si="660"/>
        <v>3348.34290495</v>
      </c>
      <c r="AG196" s="129"/>
      <c r="AH196" s="88">
        <f t="shared" si="625"/>
        <v>5487.0313882262853</v>
      </c>
      <c r="AI196" s="132">
        <f t="shared" si="661"/>
        <v>2105.2050542267848</v>
      </c>
      <c r="AJ196" s="132">
        <f t="shared" si="661"/>
        <v>3381.8263339995001</v>
      </c>
      <c r="AK196" s="129"/>
      <c r="AL196" s="88">
        <f t="shared" si="626"/>
        <v>5541.9017021085474</v>
      </c>
      <c r="AM196" s="132">
        <f t="shared" si="662"/>
        <v>2126.2571047690531</v>
      </c>
      <c r="AN196" s="132">
        <f t="shared" si="662"/>
        <v>3415.6445973394948</v>
      </c>
      <c r="AO196" s="165" t="s">
        <v>57</v>
      </c>
    </row>
    <row r="197" spans="1:41" hidden="1" x14ac:dyDescent="0.25">
      <c r="A197" s="131">
        <v>1</v>
      </c>
      <c r="B197" s="63">
        <v>435</v>
      </c>
      <c r="C197" s="63">
        <v>4000</v>
      </c>
      <c r="D197" s="63">
        <v>6120</v>
      </c>
      <c r="E197" s="63">
        <v>220</v>
      </c>
      <c r="F197" s="63" t="s">
        <v>47</v>
      </c>
      <c r="G197" s="88">
        <f>+H197+I197</f>
        <v>0</v>
      </c>
      <c r="H197" s="81">
        <v>0</v>
      </c>
      <c r="I197" s="81">
        <v>0</v>
      </c>
      <c r="J197" s="129" t="str">
        <f t="shared" ref="J197" si="663">IF(G197&gt;0.49,"*","")</f>
        <v/>
      </c>
      <c r="L197" s="132">
        <f t="shared" ref="L197" si="664">IF(E197&lt;300,G197,0)</f>
        <v>0</v>
      </c>
      <c r="M197" s="132">
        <f t="shared" ref="M197" si="665">IF(E197&gt;299,G197,0)</f>
        <v>0</v>
      </c>
      <c r="N197" s="130"/>
      <c r="O197" s="136"/>
      <c r="P197" s="136">
        <f t="shared" ref="P197" si="666">IF(B197=490,G197,0)</f>
        <v>0</v>
      </c>
      <c r="Q197" s="136">
        <f t="shared" ref="Q197" si="667">IF(B197=410,H197,0)</f>
        <v>0</v>
      </c>
      <c r="R197" s="136">
        <f t="shared" ref="R197" si="668">IF(B197=432,H197,0)</f>
        <v>0</v>
      </c>
      <c r="S197" s="136">
        <f t="shared" ref="S197" si="669">IF(B197=432,I197,0)</f>
        <v>0</v>
      </c>
      <c r="T197" s="136">
        <f t="shared" si="443"/>
        <v>0</v>
      </c>
      <c r="U197" s="136">
        <f t="shared" si="443"/>
        <v>0</v>
      </c>
      <c r="V197" s="136">
        <f t="shared" ref="V197" si="670">IF(B197=360,I197,0)</f>
        <v>0</v>
      </c>
      <c r="W197" s="136">
        <f t="shared" ref="W197" si="671">IF(B197=410,I197,0)</f>
        <v>0</v>
      </c>
      <c r="X197" s="130">
        <f t="shared" ref="X197" si="672">+W197+Q197-O197</f>
        <v>0</v>
      </c>
      <c r="Z197" s="88">
        <f t="shared" ref="Z197" si="673">AA197+AB197</f>
        <v>5378.9151928499996</v>
      </c>
      <c r="AA197" s="132">
        <f t="shared" si="659"/>
        <v>2063.7241978500001</v>
      </c>
      <c r="AB197" s="132">
        <f t="shared" si="659"/>
        <v>3315.1909949999999</v>
      </c>
      <c r="AC197" s="129"/>
      <c r="AD197" s="88">
        <f t="shared" ref="AD197" si="674">AE197+AF197</f>
        <v>5432.7043447784999</v>
      </c>
      <c r="AE197" s="132">
        <f t="shared" si="660"/>
        <v>2084.3614398284999</v>
      </c>
      <c r="AF197" s="132">
        <f t="shared" si="660"/>
        <v>3348.34290495</v>
      </c>
      <c r="AG197" s="129"/>
      <c r="AH197" s="88">
        <f t="shared" ref="AH197" si="675">AI197+AJ197</f>
        <v>5487.0313882262853</v>
      </c>
      <c r="AI197" s="132">
        <f t="shared" si="661"/>
        <v>2105.2050542267848</v>
      </c>
      <c r="AJ197" s="132">
        <f t="shared" si="661"/>
        <v>3381.8263339995001</v>
      </c>
      <c r="AK197" s="129"/>
      <c r="AL197" s="88">
        <f t="shared" ref="AL197" si="676">AM197+AN197</f>
        <v>5541.9017021085474</v>
      </c>
      <c r="AM197" s="132">
        <f t="shared" si="662"/>
        <v>2126.2571047690531</v>
      </c>
      <c r="AN197" s="132">
        <f t="shared" si="662"/>
        <v>3415.6445973394948</v>
      </c>
      <c r="AO197" s="165" t="s">
        <v>57</v>
      </c>
    </row>
    <row r="198" spans="1:41" hidden="1" x14ac:dyDescent="0.25">
      <c r="A198" s="131">
        <v>1</v>
      </c>
      <c r="B198" s="63">
        <v>100</v>
      </c>
      <c r="C198" s="63">
        <v>4000</v>
      </c>
      <c r="D198" s="63">
        <v>6120</v>
      </c>
      <c r="E198" s="63">
        <v>230</v>
      </c>
      <c r="F198" s="63" t="s">
        <v>49</v>
      </c>
      <c r="G198" s="132">
        <f>+'Payroll Input'!L$99-G199-G200</f>
        <v>0</v>
      </c>
      <c r="H198" s="81">
        <f>SUM('Payroll Input'!L$92:L$94)-H199-H200</f>
        <v>0</v>
      </c>
      <c r="I198" s="81">
        <f>SUM('Payroll Input'!L$96:L$98)-I199-I200</f>
        <v>0</v>
      </c>
      <c r="J198" s="129" t="str">
        <f t="shared" ref="J198" si="677">IF(G198&gt;0.49,"*","")</f>
        <v/>
      </c>
      <c r="L198" s="132">
        <f t="shared" ref="L198" si="678">IF(E198&lt;300,G198,0)</f>
        <v>0</v>
      </c>
      <c r="M198" s="132">
        <f t="shared" ref="M198" si="679">IF(E198&gt;299,G198,0)</f>
        <v>0</v>
      </c>
      <c r="N198" s="130"/>
      <c r="O198" s="136"/>
      <c r="P198" s="136">
        <f t="shared" ref="P198" si="680">IF(B198=490,G198,0)</f>
        <v>0</v>
      </c>
      <c r="Q198" s="136">
        <f t="shared" ref="Q198" si="681">IF(B198=410,H198,0)</f>
        <v>0</v>
      </c>
      <c r="R198" s="136">
        <f t="shared" ref="R198" si="682">IF(B198=432,H198,0)</f>
        <v>0</v>
      </c>
      <c r="S198" s="136">
        <f t="shared" ref="S198" si="683">IF(B198=432,I198,0)</f>
        <v>0</v>
      </c>
      <c r="T198" s="136">
        <f t="shared" si="443"/>
        <v>0</v>
      </c>
      <c r="U198" s="136">
        <f t="shared" si="443"/>
        <v>0</v>
      </c>
      <c r="V198" s="136">
        <f t="shared" ref="V198" si="684">IF(B198=360,I198,0)</f>
        <v>0</v>
      </c>
      <c r="W198" s="136">
        <f t="shared" ref="W198" si="685">IF(B198=410,I198,0)</f>
        <v>0</v>
      </c>
      <c r="X198" s="130">
        <f t="shared" ref="X198" si="686">+W198+Q198-O198</f>
        <v>0</v>
      </c>
      <c r="Z198" s="88">
        <f t="shared" ref="Z198" si="687">AA198+AB198</f>
        <v>0</v>
      </c>
      <c r="AA198" s="132">
        <f t="shared" ref="AA198:AB200" si="688">H198/SUM(H$189)*SUM(AA$189)</f>
        <v>0</v>
      </c>
      <c r="AB198" s="132">
        <f t="shared" si="688"/>
        <v>0</v>
      </c>
      <c r="AC198" s="129"/>
      <c r="AD198" s="88">
        <f t="shared" ref="AD198" si="689">AE198+AF198</f>
        <v>0</v>
      </c>
      <c r="AE198" s="132">
        <f t="shared" ref="AE198" si="690">AA198/SUM(AA$189)*SUM(AE$189)</f>
        <v>0</v>
      </c>
      <c r="AF198" s="132">
        <f t="shared" ref="AF198" si="691">AB198/SUM(AB$189)*SUM(AF$189)</f>
        <v>0</v>
      </c>
      <c r="AG198" s="129"/>
      <c r="AH198" s="88">
        <f t="shared" ref="AH198" si="692">AI198+AJ198</f>
        <v>0</v>
      </c>
      <c r="AI198" s="132">
        <f t="shared" ref="AI198" si="693">AE198/SUM(AE$189)*SUM(AI$189)</f>
        <v>0</v>
      </c>
      <c r="AJ198" s="132">
        <f t="shared" ref="AJ198" si="694">AF198/SUM(AF$189)*SUM(AJ$189)</f>
        <v>0</v>
      </c>
      <c r="AK198" s="129"/>
      <c r="AL198" s="88">
        <f t="shared" ref="AL198" si="695">AM198+AN198</f>
        <v>0</v>
      </c>
      <c r="AM198" s="132">
        <f t="shared" ref="AM198" si="696">AI198/SUM(AI$189)*SUM(AM$189)</f>
        <v>0</v>
      </c>
      <c r="AN198" s="132">
        <f t="shared" ref="AN198" si="697">AJ198/SUM(AJ$189)*SUM(AN$189)</f>
        <v>0</v>
      </c>
      <c r="AO198" s="165" t="s">
        <v>50</v>
      </c>
    </row>
    <row r="199" spans="1:41" x14ac:dyDescent="0.25">
      <c r="A199" s="131">
        <v>1</v>
      </c>
      <c r="B199" s="63">
        <v>432</v>
      </c>
      <c r="C199" s="63">
        <v>4000</v>
      </c>
      <c r="D199" s="63">
        <v>6120</v>
      </c>
      <c r="E199" s="63">
        <v>230</v>
      </c>
      <c r="F199" s="63" t="s">
        <v>49</v>
      </c>
      <c r="G199" s="88">
        <f>+H199+I199</f>
        <v>3624</v>
      </c>
      <c r="H199" s="81">
        <v>1812</v>
      </c>
      <c r="I199" s="81">
        <v>1812</v>
      </c>
      <c r="J199" s="129" t="str">
        <f t="shared" si="620"/>
        <v>*</v>
      </c>
      <c r="L199" s="132">
        <f t="shared" si="194"/>
        <v>3624</v>
      </c>
      <c r="M199" s="132">
        <f t="shared" si="614"/>
        <v>0</v>
      </c>
      <c r="N199" s="130"/>
      <c r="O199" s="136"/>
      <c r="P199" s="136">
        <f t="shared" si="621"/>
        <v>0</v>
      </c>
      <c r="Q199" s="136">
        <f t="shared" si="615"/>
        <v>0</v>
      </c>
      <c r="R199" s="136">
        <f t="shared" si="616"/>
        <v>1812</v>
      </c>
      <c r="S199" s="136">
        <f t="shared" si="617"/>
        <v>1812</v>
      </c>
      <c r="T199" s="136">
        <f t="shared" si="443"/>
        <v>0</v>
      </c>
      <c r="U199" s="136">
        <f t="shared" si="443"/>
        <v>0</v>
      </c>
      <c r="V199" s="136">
        <f t="shared" si="618"/>
        <v>0</v>
      </c>
      <c r="W199" s="136">
        <f t="shared" si="619"/>
        <v>0</v>
      </c>
      <c r="X199" s="130">
        <f t="shared" si="305"/>
        <v>0</v>
      </c>
      <c r="Z199" s="88">
        <f t="shared" si="622"/>
        <v>3642.12</v>
      </c>
      <c r="AA199" s="132">
        <f t="shared" si="688"/>
        <v>1830.1200000000001</v>
      </c>
      <c r="AB199" s="132">
        <f t="shared" si="688"/>
        <v>1812</v>
      </c>
      <c r="AC199" s="129"/>
      <c r="AD199" s="88">
        <f t="shared" si="624"/>
        <v>3678.5412000000001</v>
      </c>
      <c r="AE199" s="132">
        <f t="shared" ref="AE199:AF205" si="698">AA199/SUM(AA$189)*SUM(AE$189)</f>
        <v>1848.4212000000002</v>
      </c>
      <c r="AF199" s="132">
        <f t="shared" si="698"/>
        <v>1830.12</v>
      </c>
      <c r="AG199" s="129"/>
      <c r="AH199" s="88">
        <f t="shared" si="625"/>
        <v>3715.3266120000003</v>
      </c>
      <c r="AI199" s="132">
        <f t="shared" ref="AI199:AJ205" si="699">AE199/SUM(AE$189)*SUM(AI$189)</f>
        <v>1866.9054120000003</v>
      </c>
      <c r="AJ199" s="132">
        <f t="shared" si="699"/>
        <v>1848.4212</v>
      </c>
      <c r="AK199" s="129"/>
      <c r="AL199" s="88">
        <f t="shared" si="626"/>
        <v>3752.4798781200002</v>
      </c>
      <c r="AM199" s="132">
        <f t="shared" ref="AM199:AN205" si="700">AI199/SUM(AI$189)*SUM(AM$189)</f>
        <v>1885.5744661200004</v>
      </c>
      <c r="AN199" s="132">
        <f t="shared" si="700"/>
        <v>1866.9054119999998</v>
      </c>
      <c r="AO199" s="165" t="s">
        <v>50</v>
      </c>
    </row>
    <row r="200" spans="1:41" hidden="1" x14ac:dyDescent="0.25">
      <c r="A200" s="131">
        <v>1</v>
      </c>
      <c r="B200" s="63">
        <v>435</v>
      </c>
      <c r="C200" s="63">
        <v>4000</v>
      </c>
      <c r="D200" s="63">
        <v>6120</v>
      </c>
      <c r="E200" s="63">
        <v>230</v>
      </c>
      <c r="F200" s="63" t="s">
        <v>49</v>
      </c>
      <c r="G200" s="88">
        <f>+H200+I200</f>
        <v>0</v>
      </c>
      <c r="H200" s="81">
        <v>0</v>
      </c>
      <c r="I200" s="81">
        <v>0</v>
      </c>
      <c r="J200" s="129" t="str">
        <f t="shared" ref="J200" si="701">IF(G200&gt;0.49,"*","")</f>
        <v/>
      </c>
      <c r="L200" s="132">
        <f t="shared" ref="L200" si="702">IF(E200&lt;300,G200,0)</f>
        <v>0</v>
      </c>
      <c r="M200" s="132">
        <f t="shared" ref="M200" si="703">IF(E200&gt;299,G200,0)</f>
        <v>0</v>
      </c>
      <c r="N200" s="130"/>
      <c r="O200" s="136"/>
      <c r="P200" s="136">
        <f t="shared" ref="P200" si="704">IF(B200=490,G200,0)</f>
        <v>0</v>
      </c>
      <c r="Q200" s="136">
        <f t="shared" ref="Q200" si="705">IF(B200=410,H200,0)</f>
        <v>0</v>
      </c>
      <c r="R200" s="136">
        <f t="shared" ref="R200" si="706">IF(B200=432,H200,0)</f>
        <v>0</v>
      </c>
      <c r="S200" s="136">
        <f t="shared" ref="S200" si="707">IF(B200=432,I200,0)</f>
        <v>0</v>
      </c>
      <c r="T200" s="136">
        <f t="shared" si="443"/>
        <v>0</v>
      </c>
      <c r="U200" s="136">
        <f t="shared" si="443"/>
        <v>0</v>
      </c>
      <c r="V200" s="136">
        <f t="shared" ref="V200" si="708">IF(B200=360,I200,0)</f>
        <v>0</v>
      </c>
      <c r="W200" s="136">
        <f t="shared" ref="W200" si="709">IF(B200=410,I200,0)</f>
        <v>0</v>
      </c>
      <c r="X200" s="130">
        <f t="shared" ref="X200" si="710">+W200+Q200-O200</f>
        <v>0</v>
      </c>
      <c r="Z200" s="88">
        <f t="shared" ref="Z200" si="711">AA200+AB200</f>
        <v>0</v>
      </c>
      <c r="AA200" s="132">
        <f t="shared" si="688"/>
        <v>0</v>
      </c>
      <c r="AB200" s="132">
        <f t="shared" si="688"/>
        <v>0</v>
      </c>
      <c r="AC200" s="129"/>
      <c r="AD200" s="88">
        <f t="shared" ref="AD200" si="712">AE200+AF200</f>
        <v>0</v>
      </c>
      <c r="AE200" s="132">
        <f t="shared" ref="AE200" si="713">AA200/SUM(AA$189)*SUM(AE$189)</f>
        <v>0</v>
      </c>
      <c r="AF200" s="132">
        <f t="shared" ref="AF200" si="714">AB200/SUM(AB$189)*SUM(AF$189)</f>
        <v>0</v>
      </c>
      <c r="AG200" s="129"/>
      <c r="AH200" s="88">
        <f t="shared" ref="AH200" si="715">AI200+AJ200</f>
        <v>0</v>
      </c>
      <c r="AI200" s="132">
        <f t="shared" ref="AI200" si="716">AE200/SUM(AE$189)*SUM(AI$189)</f>
        <v>0</v>
      </c>
      <c r="AJ200" s="132">
        <f t="shared" ref="AJ200" si="717">AF200/SUM(AF$189)*SUM(AJ$189)</f>
        <v>0</v>
      </c>
      <c r="AK200" s="129"/>
      <c r="AL200" s="88">
        <f t="shared" ref="AL200" si="718">AM200+AN200</f>
        <v>0</v>
      </c>
      <c r="AM200" s="132">
        <f t="shared" ref="AM200" si="719">AI200/SUM(AI$189)*SUM(AM$189)</f>
        <v>0</v>
      </c>
      <c r="AN200" s="132">
        <f t="shared" ref="AN200" si="720">AJ200/SUM(AJ$189)*SUM(AN$189)</f>
        <v>0</v>
      </c>
      <c r="AO200" s="165" t="s">
        <v>50</v>
      </c>
    </row>
    <row r="201" spans="1:41" hidden="1" x14ac:dyDescent="0.25">
      <c r="A201" s="131">
        <v>1</v>
      </c>
      <c r="B201" s="63">
        <v>100</v>
      </c>
      <c r="C201" s="63">
        <v>4000</v>
      </c>
      <c r="D201" s="63">
        <v>6120</v>
      </c>
      <c r="E201" s="63">
        <v>240</v>
      </c>
      <c r="F201" s="63" t="s">
        <v>51</v>
      </c>
      <c r="G201" s="132">
        <f>('Payroll Input'!N$99-G202-G203)*0</f>
        <v>0</v>
      </c>
      <c r="H201" s="81">
        <f>(SUM('Payroll Input'!N$92:N$94)-H202-H203)*0</f>
        <v>0</v>
      </c>
      <c r="I201" s="81">
        <f>(SUM('Payroll Input'!N$96:N$98)-I202-I203)*0</f>
        <v>0</v>
      </c>
      <c r="J201" s="129" t="str">
        <f t="shared" ref="J201" si="721">IF(G201&gt;0.49,"*","")</f>
        <v/>
      </c>
      <c r="L201" s="132">
        <f t="shared" ref="L201" si="722">IF(E201&lt;300,G201,0)</f>
        <v>0</v>
      </c>
      <c r="M201" s="132">
        <f t="shared" ref="M201" si="723">IF(E201&gt;299,G201,0)</f>
        <v>0</v>
      </c>
      <c r="N201" s="130"/>
      <c r="O201" s="136"/>
      <c r="P201" s="136">
        <f t="shared" ref="P201" si="724">IF(B201=490,G201,0)</f>
        <v>0</v>
      </c>
      <c r="Q201" s="136">
        <f t="shared" ref="Q201" si="725">IF(B201=410,H201,0)</f>
        <v>0</v>
      </c>
      <c r="R201" s="136">
        <f t="shared" ref="R201" si="726">IF(B201=432,H201,0)</f>
        <v>0</v>
      </c>
      <c r="S201" s="136">
        <f t="shared" ref="S201" si="727">IF(B201=432,I201,0)</f>
        <v>0</v>
      </c>
      <c r="T201" s="136">
        <f t="shared" si="443"/>
        <v>0</v>
      </c>
      <c r="U201" s="136">
        <f t="shared" si="443"/>
        <v>0</v>
      </c>
      <c r="V201" s="136">
        <f t="shared" ref="V201" si="728">IF(B201=360,I201,0)</f>
        <v>0</v>
      </c>
      <c r="W201" s="136">
        <f t="shared" ref="W201" si="729">IF(B201=410,I201,0)</f>
        <v>0</v>
      </c>
      <c r="X201" s="130">
        <f t="shared" ref="X201" si="730">+W201+Q201-O201</f>
        <v>0</v>
      </c>
      <c r="Z201" s="88">
        <f t="shared" ref="Z201" si="731">AA201+AB201</f>
        <v>0</v>
      </c>
      <c r="AA201" s="132">
        <f t="shared" ref="AA201" si="732">H201/SUM(H$189)*SUM(AA$189)</f>
        <v>0</v>
      </c>
      <c r="AB201" s="132">
        <f t="shared" ref="AB201" si="733">I201/SUM(I$189)*SUM(AB$189)</f>
        <v>0</v>
      </c>
      <c r="AC201" s="129"/>
      <c r="AD201" s="88">
        <f t="shared" ref="AD201" si="734">AE201+AF201</f>
        <v>0</v>
      </c>
      <c r="AE201" s="132">
        <f t="shared" ref="AE201" si="735">AA201/SUM(AA$189)*SUM(AE$189)</f>
        <v>0</v>
      </c>
      <c r="AF201" s="132">
        <f t="shared" ref="AF201" si="736">AB201/SUM(AB$189)*SUM(AF$189)</f>
        <v>0</v>
      </c>
      <c r="AG201" s="129"/>
      <c r="AH201" s="88">
        <f t="shared" ref="AH201" si="737">AI201+AJ201</f>
        <v>0</v>
      </c>
      <c r="AI201" s="132">
        <f t="shared" ref="AI201" si="738">AE201/SUM(AE$189)*SUM(AI$189)</f>
        <v>0</v>
      </c>
      <c r="AJ201" s="132">
        <f t="shared" ref="AJ201" si="739">AF201/SUM(AF$189)*SUM(AJ$189)</f>
        <v>0</v>
      </c>
      <c r="AK201" s="129"/>
      <c r="AL201" s="88">
        <f t="shared" ref="AL201" si="740">AM201+AN201</f>
        <v>0</v>
      </c>
      <c r="AM201" s="132">
        <f t="shared" ref="AM201" si="741">AI201/SUM(AI$189)*SUM(AM$189)</f>
        <v>0</v>
      </c>
      <c r="AN201" s="132">
        <f t="shared" ref="AN201" si="742">AJ201/SUM(AJ$189)*SUM(AN$189)</f>
        <v>0</v>
      </c>
      <c r="AO201" s="165" t="s">
        <v>50</v>
      </c>
    </row>
    <row r="202" spans="1:41" x14ac:dyDescent="0.25">
      <c r="A202" s="131">
        <v>1</v>
      </c>
      <c r="B202" s="63">
        <v>432</v>
      </c>
      <c r="C202" s="63">
        <v>4000</v>
      </c>
      <c r="D202" s="63">
        <v>6120</v>
      </c>
      <c r="E202" s="63">
        <v>240</v>
      </c>
      <c r="F202" s="63" t="s">
        <v>51</v>
      </c>
      <c r="G202" s="88">
        <f>+H202+I202</f>
        <v>708.75</v>
      </c>
      <c r="H202" s="81">
        <f>+H190*1.5%</f>
        <v>354.375</v>
      </c>
      <c r="I202" s="81">
        <f>+I190*1.5%</f>
        <v>354.375</v>
      </c>
      <c r="J202" s="129" t="str">
        <f t="shared" si="620"/>
        <v>*</v>
      </c>
      <c r="L202" s="132">
        <f t="shared" si="194"/>
        <v>708.75</v>
      </c>
      <c r="M202" s="132">
        <f t="shared" si="614"/>
        <v>0</v>
      </c>
      <c r="N202" s="130"/>
      <c r="O202" s="136"/>
      <c r="P202" s="136">
        <f t="shared" si="621"/>
        <v>0</v>
      </c>
      <c r="Q202" s="136">
        <f t="shared" si="615"/>
        <v>0</v>
      </c>
      <c r="R202" s="136">
        <f t="shared" si="616"/>
        <v>354.375</v>
      </c>
      <c r="S202" s="136">
        <f t="shared" si="617"/>
        <v>354.375</v>
      </c>
      <c r="T202" s="136">
        <f t="shared" si="443"/>
        <v>0</v>
      </c>
      <c r="U202" s="136">
        <f t="shared" si="443"/>
        <v>0</v>
      </c>
      <c r="V202" s="136">
        <f t="shared" si="618"/>
        <v>0</v>
      </c>
      <c r="W202" s="136">
        <f t="shared" si="619"/>
        <v>0</v>
      </c>
      <c r="X202" s="130">
        <f t="shared" si="305"/>
        <v>0</v>
      </c>
      <c r="Z202" s="88">
        <f t="shared" si="622"/>
        <v>712.29375000000005</v>
      </c>
      <c r="AA202" s="132">
        <f t="shared" ref="AA202:AA205" si="743">H202/SUM(H$189)*SUM(AA$189)</f>
        <v>357.91874999999999</v>
      </c>
      <c r="AB202" s="132">
        <f t="shared" ref="AB202:AB205" si="744">I202/SUM(I$189)*SUM(AB$189)</f>
        <v>354.375</v>
      </c>
      <c r="AC202" s="129"/>
      <c r="AD202" s="88">
        <f t="shared" si="624"/>
        <v>719.41668749999997</v>
      </c>
      <c r="AE202" s="132">
        <f t="shared" si="698"/>
        <v>361.49793749999998</v>
      </c>
      <c r="AF202" s="132">
        <f t="shared" si="698"/>
        <v>357.91874999999999</v>
      </c>
      <c r="AG202" s="129"/>
      <c r="AH202" s="88">
        <f t="shared" si="625"/>
        <v>726.61085437499992</v>
      </c>
      <c r="AI202" s="132">
        <f t="shared" si="699"/>
        <v>365.11291687499994</v>
      </c>
      <c r="AJ202" s="132">
        <f t="shared" si="699"/>
        <v>361.49793749999998</v>
      </c>
      <c r="AK202" s="129"/>
      <c r="AL202" s="88">
        <f t="shared" si="626"/>
        <v>733.87696291875</v>
      </c>
      <c r="AM202" s="132">
        <f t="shared" si="700"/>
        <v>368.76404604374994</v>
      </c>
      <c r="AN202" s="132">
        <f t="shared" si="700"/>
        <v>365.112916875</v>
      </c>
      <c r="AO202" s="165" t="s">
        <v>50</v>
      </c>
    </row>
    <row r="203" spans="1:41" hidden="1" x14ac:dyDescent="0.25">
      <c r="A203" s="131">
        <v>1</v>
      </c>
      <c r="B203" s="63">
        <v>435</v>
      </c>
      <c r="C203" s="63">
        <v>4000</v>
      </c>
      <c r="D203" s="63">
        <v>6120</v>
      </c>
      <c r="E203" s="63">
        <v>240</v>
      </c>
      <c r="F203" s="63" t="s">
        <v>51</v>
      </c>
      <c r="G203" s="88">
        <f>+H203+I203</f>
        <v>0</v>
      </c>
      <c r="H203" s="81">
        <v>0</v>
      </c>
      <c r="I203" s="81">
        <v>0</v>
      </c>
      <c r="J203" s="129" t="str">
        <f t="shared" ref="J203" si="745">IF(G203&gt;0.49,"*","")</f>
        <v/>
      </c>
      <c r="L203" s="132">
        <f t="shared" ref="L203" si="746">IF(E203&lt;300,G203,0)</f>
        <v>0</v>
      </c>
      <c r="M203" s="132">
        <f t="shared" ref="M203" si="747">IF(E203&gt;299,G203,0)</f>
        <v>0</v>
      </c>
      <c r="N203" s="130"/>
      <c r="O203" s="136"/>
      <c r="P203" s="136">
        <f t="shared" ref="P203" si="748">IF(B203=490,G203,0)</f>
        <v>0</v>
      </c>
      <c r="Q203" s="136">
        <f t="shared" ref="Q203" si="749">IF(B203=410,H203,0)</f>
        <v>0</v>
      </c>
      <c r="R203" s="136">
        <f t="shared" ref="R203" si="750">IF(B203=432,H203,0)</f>
        <v>0</v>
      </c>
      <c r="S203" s="136">
        <f t="shared" ref="S203" si="751">IF(B203=432,I203,0)</f>
        <v>0</v>
      </c>
      <c r="T203" s="136">
        <f t="shared" si="443"/>
        <v>0</v>
      </c>
      <c r="U203" s="136">
        <f t="shared" si="443"/>
        <v>0</v>
      </c>
      <c r="V203" s="136">
        <f t="shared" ref="V203" si="752">IF(B203=360,I203,0)</f>
        <v>0</v>
      </c>
      <c r="W203" s="136">
        <f t="shared" ref="W203" si="753">IF(B203=410,I203,0)</f>
        <v>0</v>
      </c>
      <c r="X203" s="130">
        <f t="shared" ref="X203" si="754">+W203+Q203-O203</f>
        <v>0</v>
      </c>
      <c r="Z203" s="88">
        <f t="shared" ref="Z203" si="755">AA203+AB203</f>
        <v>0</v>
      </c>
      <c r="AA203" s="132">
        <f t="shared" ref="AA203" si="756">H203/SUM(H$189)*SUM(AA$189)</f>
        <v>0</v>
      </c>
      <c r="AB203" s="132">
        <f t="shared" ref="AB203" si="757">I203/SUM(I$189)*SUM(AB$189)</f>
        <v>0</v>
      </c>
      <c r="AC203" s="129"/>
      <c r="AD203" s="88">
        <f t="shared" ref="AD203" si="758">AE203+AF203</f>
        <v>0</v>
      </c>
      <c r="AE203" s="132">
        <f t="shared" ref="AE203" si="759">AA203/SUM(AA$189)*SUM(AE$189)</f>
        <v>0</v>
      </c>
      <c r="AF203" s="132">
        <f t="shared" ref="AF203" si="760">AB203/SUM(AB$189)*SUM(AF$189)</f>
        <v>0</v>
      </c>
      <c r="AG203" s="129"/>
      <c r="AH203" s="88">
        <f t="shared" ref="AH203" si="761">AI203+AJ203</f>
        <v>0</v>
      </c>
      <c r="AI203" s="132">
        <f t="shared" ref="AI203" si="762">AE203/SUM(AE$189)*SUM(AI$189)</f>
        <v>0</v>
      </c>
      <c r="AJ203" s="132">
        <f t="shared" ref="AJ203" si="763">AF203/SUM(AF$189)*SUM(AJ$189)</f>
        <v>0</v>
      </c>
      <c r="AK203" s="129"/>
      <c r="AL203" s="88">
        <f t="shared" ref="AL203" si="764">AM203+AN203</f>
        <v>0</v>
      </c>
      <c r="AM203" s="132">
        <f t="shared" ref="AM203" si="765">AI203/SUM(AI$189)*SUM(AM$189)</f>
        <v>0</v>
      </c>
      <c r="AN203" s="132">
        <f t="shared" ref="AN203" si="766">AJ203/SUM(AJ$189)*SUM(AN$189)</f>
        <v>0</v>
      </c>
      <c r="AO203" s="165" t="s">
        <v>50</v>
      </c>
    </row>
    <row r="204" spans="1:41" x14ac:dyDescent="0.25">
      <c r="A204" s="131">
        <v>1</v>
      </c>
      <c r="B204" s="63">
        <v>100</v>
      </c>
      <c r="C204" s="63">
        <v>4000</v>
      </c>
      <c r="D204" s="63">
        <v>6120</v>
      </c>
      <c r="E204" s="63">
        <v>250</v>
      </c>
      <c r="F204" s="63" t="s">
        <v>52</v>
      </c>
      <c r="G204" s="132">
        <f>+'Payroll Input'!O$99-G205-G206</f>
        <v>63</v>
      </c>
      <c r="H204" s="81">
        <f>SUM('Payroll Input'!O$92:O$94)-H205-H206</f>
        <v>31.5</v>
      </c>
      <c r="I204" s="81">
        <f>SUM('Payroll Input'!O$96:O$98)-I205-I206</f>
        <v>31.5</v>
      </c>
      <c r="J204" s="129" t="str">
        <f t="shared" ref="J204" si="767">IF(G204&gt;0.49,"*","")</f>
        <v>*</v>
      </c>
      <c r="L204" s="132">
        <f t="shared" ref="L204" si="768">IF(E204&lt;300,G204,0)</f>
        <v>63</v>
      </c>
      <c r="M204" s="132">
        <f t="shared" ref="M204" si="769">IF(E204&gt;299,G204,0)</f>
        <v>0</v>
      </c>
      <c r="N204" s="130"/>
      <c r="O204" s="136"/>
      <c r="P204" s="136">
        <f t="shared" ref="P204" si="770">IF(B204=490,G204,0)</f>
        <v>0</v>
      </c>
      <c r="Q204" s="136">
        <f t="shared" ref="Q204" si="771">IF(B204=410,H204,0)</f>
        <v>0</v>
      </c>
      <c r="R204" s="136">
        <f t="shared" ref="R204" si="772">IF(B204=432,H204,0)</f>
        <v>0</v>
      </c>
      <c r="S204" s="136">
        <f t="shared" ref="S204" si="773">IF(B204=432,I204,0)</f>
        <v>0</v>
      </c>
      <c r="T204" s="136">
        <f t="shared" si="443"/>
        <v>0</v>
      </c>
      <c r="U204" s="136">
        <f t="shared" si="443"/>
        <v>0</v>
      </c>
      <c r="V204" s="136">
        <f t="shared" ref="V204" si="774">IF(B204=360,I204,0)</f>
        <v>0</v>
      </c>
      <c r="W204" s="136">
        <f t="shared" ref="W204" si="775">IF(B204=410,I204,0)</f>
        <v>0</v>
      </c>
      <c r="X204" s="130">
        <f t="shared" ref="X204" si="776">+W204+Q204-O204</f>
        <v>0</v>
      </c>
      <c r="Z204" s="88">
        <f t="shared" ref="Z204" si="777">AA204+AB204</f>
        <v>63.314999999999998</v>
      </c>
      <c r="AA204" s="132">
        <f t="shared" ref="AA204" si="778">H204/SUM(H$189)*SUM(AA$189)</f>
        <v>31.814999999999998</v>
      </c>
      <c r="AB204" s="132">
        <f t="shared" ref="AB204" si="779">I204/SUM(I$189)*SUM(AB$189)</f>
        <v>31.5</v>
      </c>
      <c r="AC204" s="129"/>
      <c r="AD204" s="88">
        <f t="shared" ref="AD204" si="780">AE204+AF204</f>
        <v>63.948149999999998</v>
      </c>
      <c r="AE204" s="132">
        <f t="shared" ref="AE204" si="781">AA204/SUM(AA$189)*SUM(AE$189)</f>
        <v>32.133150000000001</v>
      </c>
      <c r="AF204" s="132">
        <f t="shared" ref="AF204" si="782">AB204/SUM(AB$189)*SUM(AF$189)</f>
        <v>31.814999999999998</v>
      </c>
      <c r="AG204" s="129"/>
      <c r="AH204" s="88">
        <f t="shared" ref="AH204" si="783">AI204+AJ204</f>
        <v>64.587631500000001</v>
      </c>
      <c r="AI204" s="132">
        <f t="shared" ref="AI204" si="784">AE204/SUM(AE$189)*SUM(AI$189)</f>
        <v>32.4544815</v>
      </c>
      <c r="AJ204" s="132">
        <f t="shared" ref="AJ204" si="785">AF204/SUM(AF$189)*SUM(AJ$189)</f>
        <v>32.133150000000001</v>
      </c>
      <c r="AK204" s="129"/>
      <c r="AL204" s="88">
        <f t="shared" ref="AL204" si="786">AM204+AN204</f>
        <v>65.233507814999996</v>
      </c>
      <c r="AM204" s="132">
        <f t="shared" ref="AM204" si="787">AI204/SUM(AI$189)*SUM(AM$189)</f>
        <v>32.779026315000003</v>
      </c>
      <c r="AN204" s="132">
        <f t="shared" ref="AN204" si="788">AJ204/SUM(AJ$189)*SUM(AN$189)</f>
        <v>32.4544815</v>
      </c>
      <c r="AO204" s="165" t="s">
        <v>50</v>
      </c>
    </row>
    <row r="205" spans="1:41" hidden="1" x14ac:dyDescent="0.25">
      <c r="A205" s="131">
        <v>1</v>
      </c>
      <c r="B205" s="63">
        <v>432</v>
      </c>
      <c r="C205" s="63">
        <v>4000</v>
      </c>
      <c r="D205" s="63">
        <v>6120</v>
      </c>
      <c r="E205" s="63">
        <v>250</v>
      </c>
      <c r="F205" s="63" t="s">
        <v>52</v>
      </c>
      <c r="G205" s="88">
        <f>+H205+I205</f>
        <v>0</v>
      </c>
      <c r="H205" s="81">
        <v>0</v>
      </c>
      <c r="I205" s="81">
        <v>0</v>
      </c>
      <c r="J205" s="129" t="str">
        <f t="shared" si="620"/>
        <v/>
      </c>
      <c r="L205" s="132">
        <f t="shared" si="194"/>
        <v>0</v>
      </c>
      <c r="M205" s="132">
        <f t="shared" si="614"/>
        <v>0</v>
      </c>
      <c r="N205" s="130"/>
      <c r="O205" s="136"/>
      <c r="P205" s="136">
        <f t="shared" si="621"/>
        <v>0</v>
      </c>
      <c r="Q205" s="136">
        <f t="shared" si="615"/>
        <v>0</v>
      </c>
      <c r="R205" s="136">
        <f t="shared" si="616"/>
        <v>0</v>
      </c>
      <c r="S205" s="136">
        <f t="shared" si="617"/>
        <v>0</v>
      </c>
      <c r="T205" s="136">
        <f t="shared" si="443"/>
        <v>0</v>
      </c>
      <c r="U205" s="136">
        <f t="shared" si="443"/>
        <v>0</v>
      </c>
      <c r="V205" s="136">
        <f t="shared" si="618"/>
        <v>0</v>
      </c>
      <c r="W205" s="136">
        <f t="shared" si="619"/>
        <v>0</v>
      </c>
      <c r="X205" s="130">
        <f t="shared" si="305"/>
        <v>0</v>
      </c>
      <c r="Z205" s="88">
        <f t="shared" si="622"/>
        <v>0</v>
      </c>
      <c r="AA205" s="132">
        <f t="shared" si="743"/>
        <v>0</v>
      </c>
      <c r="AB205" s="132">
        <f t="shared" si="744"/>
        <v>0</v>
      </c>
      <c r="AC205" s="129"/>
      <c r="AD205" s="88">
        <f t="shared" si="624"/>
        <v>0</v>
      </c>
      <c r="AE205" s="132">
        <f t="shared" si="698"/>
        <v>0</v>
      </c>
      <c r="AF205" s="132">
        <f t="shared" si="698"/>
        <v>0</v>
      </c>
      <c r="AG205" s="129"/>
      <c r="AH205" s="88">
        <f t="shared" si="625"/>
        <v>0</v>
      </c>
      <c r="AI205" s="132">
        <f t="shared" si="699"/>
        <v>0</v>
      </c>
      <c r="AJ205" s="132">
        <f t="shared" si="699"/>
        <v>0</v>
      </c>
      <c r="AK205" s="129"/>
      <c r="AL205" s="88">
        <f t="shared" si="626"/>
        <v>0</v>
      </c>
      <c r="AM205" s="132">
        <f t="shared" si="700"/>
        <v>0</v>
      </c>
      <c r="AN205" s="132">
        <f t="shared" si="700"/>
        <v>0</v>
      </c>
      <c r="AO205" s="165" t="s">
        <v>50</v>
      </c>
    </row>
    <row r="206" spans="1:41" hidden="1" x14ac:dyDescent="0.25">
      <c r="A206" s="131">
        <v>1</v>
      </c>
      <c r="B206" s="63">
        <v>435</v>
      </c>
      <c r="C206" s="63">
        <v>4000</v>
      </c>
      <c r="D206" s="63">
        <v>6120</v>
      </c>
      <c r="E206" s="63">
        <v>250</v>
      </c>
      <c r="F206" s="63" t="s">
        <v>52</v>
      </c>
      <c r="G206" s="88">
        <f>+H206+I206</f>
        <v>0</v>
      </c>
      <c r="H206" s="88">
        <v>0</v>
      </c>
      <c r="I206" s="88">
        <v>0</v>
      </c>
      <c r="J206" s="129" t="str">
        <f t="shared" ref="J206" si="789">IF(G206&gt;0.49,"*","")</f>
        <v/>
      </c>
      <c r="L206" s="132">
        <f t="shared" ref="L206" si="790">IF(E206&lt;300,G206,0)</f>
        <v>0</v>
      </c>
      <c r="M206" s="132">
        <f t="shared" ref="M206" si="791">IF(E206&gt;299,G206,0)</f>
        <v>0</v>
      </c>
      <c r="N206" s="130"/>
      <c r="O206" s="136"/>
      <c r="P206" s="136">
        <f t="shared" ref="P206" si="792">IF(B206=490,G206,0)</f>
        <v>0</v>
      </c>
      <c r="Q206" s="136">
        <f t="shared" ref="Q206" si="793">IF(B206=410,H206,0)</f>
        <v>0</v>
      </c>
      <c r="R206" s="136">
        <f t="shared" ref="R206" si="794">IF(B206=432,H206,0)</f>
        <v>0</v>
      </c>
      <c r="S206" s="136">
        <f t="shared" ref="S206" si="795">IF(B206=432,I206,0)</f>
        <v>0</v>
      </c>
      <c r="T206" s="136">
        <f t="shared" si="443"/>
        <v>0</v>
      </c>
      <c r="U206" s="136">
        <f t="shared" si="443"/>
        <v>0</v>
      </c>
      <c r="V206" s="136">
        <f t="shared" ref="V206" si="796">IF(B206=360,I206,0)</f>
        <v>0</v>
      </c>
      <c r="W206" s="136">
        <f t="shared" ref="W206" si="797">IF(B206=410,I206,0)</f>
        <v>0</v>
      </c>
      <c r="X206" s="130">
        <f t="shared" ref="X206" si="798">+W206+Q206-O206</f>
        <v>0</v>
      </c>
      <c r="Z206" s="88">
        <f t="shared" ref="Z206" si="799">AA206+AB206</f>
        <v>0</v>
      </c>
      <c r="AA206" s="132">
        <f t="shared" ref="AA206" si="800">H206/SUM(H$189)*SUM(AA$189)</f>
        <v>0</v>
      </c>
      <c r="AB206" s="132">
        <f t="shared" ref="AB206" si="801">I206/SUM(I$189)*SUM(AB$189)</f>
        <v>0</v>
      </c>
      <c r="AC206" s="129"/>
      <c r="AD206" s="88">
        <f t="shared" ref="AD206" si="802">AE206+AF206</f>
        <v>0</v>
      </c>
      <c r="AE206" s="132">
        <f t="shared" ref="AE206" si="803">AA206/SUM(AA$189)*SUM(AE$189)</f>
        <v>0</v>
      </c>
      <c r="AF206" s="132">
        <f t="shared" ref="AF206" si="804">AB206/SUM(AB$189)*SUM(AF$189)</f>
        <v>0</v>
      </c>
      <c r="AG206" s="129"/>
      <c r="AH206" s="88">
        <f t="shared" ref="AH206" si="805">AI206+AJ206</f>
        <v>0</v>
      </c>
      <c r="AI206" s="132">
        <f t="shared" ref="AI206" si="806">AE206/SUM(AE$189)*SUM(AI$189)</f>
        <v>0</v>
      </c>
      <c r="AJ206" s="132">
        <f t="shared" ref="AJ206" si="807">AF206/SUM(AF$189)*SUM(AJ$189)</f>
        <v>0</v>
      </c>
      <c r="AK206" s="129"/>
      <c r="AL206" s="88">
        <f t="shared" ref="AL206" si="808">AM206+AN206</f>
        <v>0</v>
      </c>
      <c r="AM206" s="132">
        <f t="shared" ref="AM206" si="809">AI206/SUM(AI$189)*SUM(AM$189)</f>
        <v>0</v>
      </c>
      <c r="AN206" s="132">
        <f t="shared" ref="AN206" si="810">AJ206/SUM(AJ$189)*SUM(AN$189)</f>
        <v>0</v>
      </c>
      <c r="AO206" s="165" t="s">
        <v>50</v>
      </c>
    </row>
    <row r="207" spans="1:41" s="1" customFormat="1" ht="13.2" hidden="1" customHeight="1" x14ac:dyDescent="0.25">
      <c r="A207" s="131"/>
      <c r="B207" s="134"/>
      <c r="C207" s="134"/>
      <c r="D207" s="134"/>
      <c r="E207" s="134"/>
      <c r="F207" s="134"/>
      <c r="G207" s="136"/>
      <c r="H207" s="136"/>
      <c r="I207" s="136"/>
      <c r="J207" s="129" t="str">
        <f t="shared" si="620"/>
        <v/>
      </c>
      <c r="K207" s="129"/>
      <c r="L207" s="132">
        <f t="shared" si="194"/>
        <v>0</v>
      </c>
      <c r="M207" s="132">
        <f t="shared" si="614"/>
        <v>0</v>
      </c>
      <c r="N207" s="130"/>
      <c r="O207" s="136"/>
      <c r="P207" s="136">
        <f t="shared" si="621"/>
        <v>0</v>
      </c>
      <c r="Q207" s="136">
        <f t="shared" si="615"/>
        <v>0</v>
      </c>
      <c r="R207" s="136">
        <f t="shared" si="616"/>
        <v>0</v>
      </c>
      <c r="S207" s="136">
        <f t="shared" si="617"/>
        <v>0</v>
      </c>
      <c r="T207" s="136">
        <f t="shared" si="443"/>
        <v>0</v>
      </c>
      <c r="U207" s="136">
        <f t="shared" si="443"/>
        <v>0</v>
      </c>
      <c r="V207" s="136">
        <f t="shared" si="618"/>
        <v>0</v>
      </c>
      <c r="W207" s="136">
        <f t="shared" si="619"/>
        <v>0</v>
      </c>
      <c r="X207" s="130">
        <f t="shared" si="305"/>
        <v>0</v>
      </c>
      <c r="Y207" s="129"/>
      <c r="Z207" s="88">
        <f t="shared" ref="Z207:Z210" si="811">AA207+AB207</f>
        <v>0</v>
      </c>
      <c r="AA207" s="136"/>
      <c r="AB207" s="136"/>
      <c r="AC207" s="129"/>
      <c r="AD207" s="88">
        <f t="shared" ref="AD207:AD210" si="812">AE207+AF207</f>
        <v>0</v>
      </c>
      <c r="AE207" s="136"/>
      <c r="AF207" s="136"/>
      <c r="AG207" s="129"/>
      <c r="AH207" s="88">
        <f t="shared" ref="AH207:AH210" si="813">AI207+AJ207</f>
        <v>0</v>
      </c>
      <c r="AI207" s="136"/>
      <c r="AJ207" s="136"/>
      <c r="AK207" s="129"/>
      <c r="AL207" s="88">
        <f t="shared" ref="AL207:AL210" si="814">AM207+AN207</f>
        <v>0</v>
      </c>
      <c r="AM207" s="136"/>
      <c r="AN207" s="136"/>
      <c r="AO207" s="165"/>
    </row>
    <row r="208" spans="1:41" s="1" customFormat="1" x14ac:dyDescent="0.25">
      <c r="A208" s="131"/>
      <c r="B208" s="134">
        <f>+'Expense Input'!B52</f>
        <v>100</v>
      </c>
      <c r="C208" s="134">
        <f>+'Expense Input'!C52</f>
        <v>4000</v>
      </c>
      <c r="D208" s="134">
        <f>+'Expense Input'!D52</f>
        <v>6130</v>
      </c>
      <c r="E208" s="134">
        <f>+'Expense Input'!E52</f>
        <v>310</v>
      </c>
      <c r="F208" s="134" t="str">
        <f>+'Expense Input'!F52</f>
        <v>Health Services</v>
      </c>
      <c r="G208" s="136">
        <f>+'Expense Input'!Q52</f>
        <v>13844.76478361955</v>
      </c>
      <c r="H208" s="154">
        <f>+'Expense Input'!R52</f>
        <v>7673.1448763250883</v>
      </c>
      <c r="I208" s="154">
        <f>+'Expense Input'!S52</f>
        <v>6171.6199072944628</v>
      </c>
      <c r="J208" s="129" t="str">
        <f t="shared" si="620"/>
        <v>*</v>
      </c>
      <c r="K208" s="129"/>
      <c r="L208" s="132">
        <f t="shared" si="194"/>
        <v>0</v>
      </c>
      <c r="M208" s="132">
        <f t="shared" si="614"/>
        <v>13844.76478361955</v>
      </c>
      <c r="N208" s="130"/>
      <c r="O208" s="136"/>
      <c r="P208" s="136">
        <f t="shared" si="621"/>
        <v>0</v>
      </c>
      <c r="Q208" s="136">
        <f t="shared" si="615"/>
        <v>0</v>
      </c>
      <c r="R208" s="136">
        <f t="shared" si="616"/>
        <v>0</v>
      </c>
      <c r="S208" s="136">
        <f t="shared" si="617"/>
        <v>0</v>
      </c>
      <c r="T208" s="136">
        <f t="shared" si="443"/>
        <v>0</v>
      </c>
      <c r="U208" s="136">
        <f t="shared" si="443"/>
        <v>0</v>
      </c>
      <c r="V208" s="136">
        <f t="shared" si="618"/>
        <v>0</v>
      </c>
      <c r="W208" s="136">
        <f t="shared" si="619"/>
        <v>0</v>
      </c>
      <c r="X208" s="130">
        <f t="shared" si="305"/>
        <v>0</v>
      </c>
      <c r="Y208" s="129"/>
      <c r="Z208" s="88">
        <f t="shared" si="811"/>
        <v>17203.674285089503</v>
      </c>
      <c r="AA208" s="103">
        <f>+H208/H$11*AA$11*Inf</f>
        <v>8395.6993521790355</v>
      </c>
      <c r="AB208" s="103">
        <f>+I208/I$11*AB$11*Inf</f>
        <v>8807.974932910467</v>
      </c>
      <c r="AC208" s="77"/>
      <c r="AD208" s="88">
        <f t="shared" si="812"/>
        <v>17375.711027940397</v>
      </c>
      <c r="AE208" s="103">
        <f>+AA208/AA$11*AE$11*Inf</f>
        <v>8479.6563457008251</v>
      </c>
      <c r="AF208" s="103">
        <f>+AB208/AB$11*AF$11*Inf</f>
        <v>8896.0546822395718</v>
      </c>
      <c r="AG208" s="77"/>
      <c r="AH208" s="88">
        <f t="shared" si="813"/>
        <v>18899.427225775173</v>
      </c>
      <c r="AI208" s="103">
        <f>+AE208/AE$11*AI$11*Inf</f>
        <v>9223.256979093052</v>
      </c>
      <c r="AJ208" s="103">
        <f>+AF208/AF$11*AJ$11*Inf</f>
        <v>9676.1702466821189</v>
      </c>
      <c r="AK208" s="77"/>
      <c r="AL208" s="88">
        <f t="shared" si="814"/>
        <v>19088.421498032923</v>
      </c>
      <c r="AM208" s="103">
        <f>+AI208/AI$11*AM$11*Inf</f>
        <v>9315.4895488839829</v>
      </c>
      <c r="AN208" s="103">
        <f>+AJ208/AJ$11*AN$11*Inf</f>
        <v>9772.9319491489405</v>
      </c>
      <c r="AO208" s="165" t="s">
        <v>42</v>
      </c>
    </row>
    <row r="209" spans="1:41" s="129" customFormat="1" hidden="1" x14ac:dyDescent="0.25">
      <c r="A209" s="131"/>
      <c r="B209" s="134">
        <f>+'Expense Input'!B53</f>
        <v>435</v>
      </c>
      <c r="C209" s="134">
        <f>+'Expense Input'!C53</f>
        <v>4000</v>
      </c>
      <c r="D209" s="134">
        <f>+'Expense Input'!D53</f>
        <v>6131</v>
      </c>
      <c r="E209" s="134">
        <f>+'Expense Input'!E53</f>
        <v>510</v>
      </c>
      <c r="F209" s="134" t="str">
        <f>+'Expense Input'!F53</f>
        <v>Health Supplies</v>
      </c>
      <c r="G209" s="136">
        <f>+'Expense Input'!Q53</f>
        <v>0</v>
      </c>
      <c r="H209" s="136">
        <f>+'Expense Input'!R53</f>
        <v>0</v>
      </c>
      <c r="I209" s="136">
        <f>+'Expense Input'!S53</f>
        <v>0</v>
      </c>
      <c r="J209" s="129" t="str">
        <f t="shared" ref="J209" si="815">IF(G209&gt;0.49,"*","")</f>
        <v/>
      </c>
      <c r="L209" s="132">
        <f t="shared" ref="L209" si="816">IF(E209&lt;300,G209,0)</f>
        <v>0</v>
      </c>
      <c r="M209" s="132">
        <f t="shared" ref="M209" si="817">IF(E209&gt;299,G209,0)</f>
        <v>0</v>
      </c>
      <c r="N209" s="130"/>
      <c r="O209" s="136"/>
      <c r="P209" s="136">
        <f t="shared" ref="P209" si="818">IF(B209=490,G209,0)</f>
        <v>0</v>
      </c>
      <c r="Q209" s="136">
        <f t="shared" ref="Q209" si="819">IF(B209=410,H209,0)</f>
        <v>0</v>
      </c>
      <c r="R209" s="136">
        <f t="shared" ref="R209" si="820">IF(B209=432,H209,0)</f>
        <v>0</v>
      </c>
      <c r="S209" s="136">
        <f t="shared" ref="S209" si="821">IF(B209=432,I209,0)</f>
        <v>0</v>
      </c>
      <c r="T209" s="136">
        <f t="shared" ref="T209" si="822">IF($B209=435,H209,0)</f>
        <v>0</v>
      </c>
      <c r="U209" s="136">
        <f t="shared" ref="U209" si="823">IF($B209=435,I209,0)</f>
        <v>0</v>
      </c>
      <c r="V209" s="136">
        <f t="shared" ref="V209" si="824">IF(B209=360,I209,0)</f>
        <v>0</v>
      </c>
      <c r="W209" s="136">
        <f t="shared" ref="W209" si="825">IF(B209=410,I209,0)</f>
        <v>0</v>
      </c>
      <c r="X209" s="130">
        <f t="shared" ref="X209" si="826">+W209+Q209-O209</f>
        <v>0</v>
      </c>
      <c r="Z209" s="88">
        <f t="shared" ref="Z209" si="827">AA209+AB209</f>
        <v>0</v>
      </c>
      <c r="AA209" s="103">
        <f>+H209/H$11*AA$11*Inf</f>
        <v>0</v>
      </c>
      <c r="AB209" s="103">
        <f>+I209/I$11*AB$11*Inf</f>
        <v>0</v>
      </c>
      <c r="AC209" s="77"/>
      <c r="AD209" s="88">
        <f t="shared" ref="AD209" si="828">AE209+AF209</f>
        <v>0</v>
      </c>
      <c r="AE209" s="103">
        <f>+AA209/AA$11*AE$11*Inf</f>
        <v>0</v>
      </c>
      <c r="AF209" s="103">
        <f>+AB209/AB$11*AF$11*Inf</f>
        <v>0</v>
      </c>
      <c r="AG209" s="77"/>
      <c r="AH209" s="88">
        <f t="shared" ref="AH209" si="829">AI209+AJ209</f>
        <v>0</v>
      </c>
      <c r="AI209" s="103">
        <f>+AE209/AE$11*AI$11*Inf</f>
        <v>0</v>
      </c>
      <c r="AJ209" s="103">
        <f>+AF209/AF$11*AJ$11*Inf</f>
        <v>0</v>
      </c>
      <c r="AK209" s="77"/>
      <c r="AL209" s="88">
        <f t="shared" ref="AL209" si="830">AM209+AN209</f>
        <v>0</v>
      </c>
      <c r="AM209" s="103">
        <f>+AI209/AI$11*AM$11*Inf</f>
        <v>0</v>
      </c>
      <c r="AN209" s="103">
        <f>+AJ209/AJ$11*AN$11*Inf</f>
        <v>0</v>
      </c>
      <c r="AO209" s="165" t="s">
        <v>42</v>
      </c>
    </row>
    <row r="210" spans="1:41" s="1" customFormat="1" ht="13.2" customHeight="1" x14ac:dyDescent="0.25">
      <c r="A210" s="131"/>
      <c r="B210" s="134">
        <f>+'Expense Input'!B54</f>
        <v>432</v>
      </c>
      <c r="C210" s="134">
        <f>+'Expense Input'!C54</f>
        <v>4000</v>
      </c>
      <c r="D210" s="134">
        <f>+'Expense Input'!D54</f>
        <v>6150</v>
      </c>
      <c r="E210" s="134">
        <f>+'Expense Input'!E54</f>
        <v>511</v>
      </c>
      <c r="F210" s="134" t="str">
        <f>+'Expense Input'!F54</f>
        <v>Parent Involvement</v>
      </c>
      <c r="G210" s="136">
        <f>+'Expense Input'!Q54</f>
        <v>6124</v>
      </c>
      <c r="H210" s="136">
        <f>+'Expense Input'!R54</f>
        <v>3062</v>
      </c>
      <c r="I210" s="136">
        <f>+'Expense Input'!S54</f>
        <v>3062</v>
      </c>
      <c r="J210" s="129" t="str">
        <f t="shared" ref="J210" si="831">IF(G210&gt;0.49,"*","")</f>
        <v>*</v>
      </c>
      <c r="K210" s="129"/>
      <c r="L210" s="132">
        <f t="shared" ref="L210" si="832">IF(E210&lt;300,G210,0)</f>
        <v>0</v>
      </c>
      <c r="M210" s="132">
        <f t="shared" ref="M210" si="833">IF(E210&gt;299,G210,0)</f>
        <v>6124</v>
      </c>
      <c r="N210" s="130"/>
      <c r="O210" s="136"/>
      <c r="P210" s="136">
        <f t="shared" si="621"/>
        <v>0</v>
      </c>
      <c r="Q210" s="136">
        <f t="shared" si="615"/>
        <v>0</v>
      </c>
      <c r="R210" s="136">
        <f t="shared" si="616"/>
        <v>3062</v>
      </c>
      <c r="S210" s="136">
        <f t="shared" si="617"/>
        <v>3062</v>
      </c>
      <c r="T210" s="136">
        <f t="shared" si="443"/>
        <v>0</v>
      </c>
      <c r="U210" s="136">
        <f t="shared" si="443"/>
        <v>0</v>
      </c>
      <c r="V210" s="136">
        <f t="shared" si="618"/>
        <v>0</v>
      </c>
      <c r="W210" s="136">
        <f t="shared" si="619"/>
        <v>0</v>
      </c>
      <c r="X210" s="130">
        <f t="shared" ref="X210" si="834">+W210+Q210-O210</f>
        <v>0</v>
      </c>
      <c r="Y210" s="129"/>
      <c r="Z210" s="103">
        <f t="shared" si="811"/>
        <v>6185.24</v>
      </c>
      <c r="AA210" s="103">
        <f>+H210*Inf</f>
        <v>3092.62</v>
      </c>
      <c r="AB210" s="103">
        <f>+I210*Inf</f>
        <v>3092.62</v>
      </c>
      <c r="AC210" s="77"/>
      <c r="AD210" s="103">
        <f t="shared" si="812"/>
        <v>6247.0923999999995</v>
      </c>
      <c r="AE210" s="103">
        <f>+AA210*Inf</f>
        <v>3123.5461999999998</v>
      </c>
      <c r="AF210" s="103">
        <f>+AB210*Inf</f>
        <v>3123.5461999999998</v>
      </c>
      <c r="AG210" s="77"/>
      <c r="AH210" s="103">
        <f t="shared" si="813"/>
        <v>6309.5633239999997</v>
      </c>
      <c r="AI210" s="103">
        <f>+AE210*Inf</f>
        <v>3154.7816619999999</v>
      </c>
      <c r="AJ210" s="103">
        <f>+AF210*Inf</f>
        <v>3154.7816619999999</v>
      </c>
      <c r="AK210" s="77"/>
      <c r="AL210" s="103">
        <f t="shared" si="814"/>
        <v>6372.6589572399998</v>
      </c>
      <c r="AM210" s="103">
        <f>+AI210*Inf</f>
        <v>3186.3294786199999</v>
      </c>
      <c r="AN210" s="103">
        <f>+AJ210*Inf</f>
        <v>3186.3294786199999</v>
      </c>
      <c r="AO210" s="165" t="s">
        <v>35</v>
      </c>
    </row>
    <row r="211" spans="1:41" s="1" customFormat="1" ht="13.2" hidden="1" customHeight="1" x14ac:dyDescent="0.25">
      <c r="A211" s="131"/>
      <c r="B211" s="134"/>
      <c r="C211" s="134"/>
      <c r="D211" s="134"/>
      <c r="E211" s="134"/>
      <c r="F211" s="134"/>
      <c r="G211" s="136"/>
      <c r="H211" s="136"/>
      <c r="I211" s="136"/>
      <c r="J211" s="129" t="str">
        <f t="shared" si="620"/>
        <v/>
      </c>
      <c r="K211" s="129"/>
      <c r="L211" s="132">
        <f t="shared" si="194"/>
        <v>0</v>
      </c>
      <c r="M211" s="132">
        <f t="shared" si="614"/>
        <v>0</v>
      </c>
      <c r="N211" s="130"/>
      <c r="O211" s="136"/>
      <c r="P211" s="136">
        <f t="shared" si="621"/>
        <v>0</v>
      </c>
      <c r="Q211" s="136">
        <f t="shared" si="615"/>
        <v>0</v>
      </c>
      <c r="R211" s="136">
        <f t="shared" si="616"/>
        <v>0</v>
      </c>
      <c r="S211" s="136">
        <f t="shared" si="617"/>
        <v>0</v>
      </c>
      <c r="T211" s="136">
        <f t="shared" ref="T211:U277" si="835">IF($B211=435,H211,0)</f>
        <v>0</v>
      </c>
      <c r="U211" s="136">
        <f t="shared" si="835"/>
        <v>0</v>
      </c>
      <c r="V211" s="136">
        <f t="shared" si="618"/>
        <v>0</v>
      </c>
      <c r="W211" s="136">
        <f t="shared" si="619"/>
        <v>0</v>
      </c>
      <c r="X211" s="130">
        <f t="shared" si="305"/>
        <v>0</v>
      </c>
      <c r="Y211" s="129"/>
      <c r="Z211" s="136"/>
      <c r="AA211" s="136"/>
      <c r="AB211" s="136"/>
      <c r="AC211" s="129"/>
      <c r="AD211" s="136"/>
      <c r="AE211" s="136"/>
      <c r="AF211" s="136"/>
      <c r="AG211" s="129"/>
      <c r="AH211" s="136"/>
      <c r="AI211" s="136"/>
      <c r="AJ211" s="136"/>
      <c r="AK211" s="129"/>
      <c r="AL211" s="136"/>
      <c r="AM211" s="136"/>
      <c r="AN211" s="136"/>
      <c r="AO211" s="165"/>
    </row>
    <row r="212" spans="1:41" x14ac:dyDescent="0.25">
      <c r="A212" s="131"/>
      <c r="B212" s="63"/>
      <c r="C212" s="63"/>
      <c r="D212" s="63"/>
      <c r="E212" s="63"/>
      <c r="F212" s="63"/>
      <c r="J212" s="129" t="str">
        <f>IF(J213="*","*","")</f>
        <v>*</v>
      </c>
      <c r="L212" s="132">
        <f t="shared" si="194"/>
        <v>0</v>
      </c>
      <c r="M212" s="132">
        <f t="shared" si="614"/>
        <v>0</v>
      </c>
      <c r="N212" s="130"/>
      <c r="O212" s="136"/>
      <c r="P212" s="136">
        <f>IF(B212=432,G212,0)</f>
        <v>0</v>
      </c>
      <c r="Q212" s="136">
        <f t="shared" si="615"/>
        <v>0</v>
      </c>
      <c r="R212" s="136">
        <f t="shared" si="616"/>
        <v>0</v>
      </c>
      <c r="S212" s="136">
        <f t="shared" si="617"/>
        <v>0</v>
      </c>
      <c r="T212" s="136">
        <f t="shared" si="835"/>
        <v>0</v>
      </c>
      <c r="U212" s="136">
        <f t="shared" si="835"/>
        <v>0</v>
      </c>
      <c r="V212" s="136">
        <f t="shared" si="618"/>
        <v>0</v>
      </c>
      <c r="W212" s="136">
        <f t="shared" si="619"/>
        <v>0</v>
      </c>
      <c r="X212" s="130">
        <f t="shared" si="305"/>
        <v>0</v>
      </c>
      <c r="AO212" s="165"/>
    </row>
    <row r="213" spans="1:41" x14ac:dyDescent="0.25">
      <c r="A213" s="131"/>
      <c r="F213" s="85" t="s">
        <v>64</v>
      </c>
      <c r="G213" s="86">
        <f>SUM(G189:G212)</f>
        <v>194880.98678361956</v>
      </c>
      <c r="H213" s="86">
        <f>SUM(H189:H212)</f>
        <v>94227.84187632511</v>
      </c>
      <c r="I213" s="86">
        <f>SUM(I189:I212)</f>
        <v>100653.14490729447</v>
      </c>
      <c r="J213" s="129" t="str">
        <f>IF(G213&gt;0.49,"*","")</f>
        <v>*</v>
      </c>
      <c r="L213" s="133">
        <f>SUM(L188:L212)</f>
        <v>174912.22200000001</v>
      </c>
      <c r="M213" s="133">
        <f>SUM(M188:M212)</f>
        <v>19968.76478361955</v>
      </c>
      <c r="N213" s="130"/>
      <c r="O213" s="133"/>
      <c r="P213" s="133">
        <f t="shared" ref="P213:X213" si="836">SUM(P189:P212)</f>
        <v>0</v>
      </c>
      <c r="Q213" s="133">
        <f t="shared" si="836"/>
        <v>0</v>
      </c>
      <c r="R213" s="133">
        <f t="shared" si="836"/>
        <v>33474.425000000003</v>
      </c>
      <c r="S213" s="133">
        <f t="shared" si="836"/>
        <v>33474.425000000003</v>
      </c>
      <c r="T213" s="133">
        <f t="shared" si="836"/>
        <v>17660.310000000001</v>
      </c>
      <c r="U213" s="133">
        <f t="shared" si="836"/>
        <v>7664.17</v>
      </c>
      <c r="V213" s="133">
        <f t="shared" si="836"/>
        <v>0</v>
      </c>
      <c r="W213" s="133">
        <f t="shared" si="836"/>
        <v>0</v>
      </c>
      <c r="X213" s="133">
        <f t="shared" si="836"/>
        <v>0</v>
      </c>
      <c r="Z213" s="86">
        <f>SUM(Z189:Z212)</f>
        <v>208650.01538363952</v>
      </c>
      <c r="AA213" s="86">
        <f>SUM(AA189:AA212)</f>
        <v>96667.331765729003</v>
      </c>
      <c r="AB213" s="86">
        <f>SUM(AB189:AB212)</f>
        <v>111982.68361791046</v>
      </c>
      <c r="AD213" s="86">
        <f>SUM(AD189:AD212)</f>
        <v>210736.51553747588</v>
      </c>
      <c r="AE213" s="86">
        <f>SUM(AE189:AE212)</f>
        <v>97634.005083386335</v>
      </c>
      <c r="AF213" s="86">
        <f>SUM(AF189:AF212)</f>
        <v>113102.51045408954</v>
      </c>
      <c r="AH213" s="86">
        <f>SUM(AH189:AH212)</f>
        <v>214193.83978040604</v>
      </c>
      <c r="AI213" s="86">
        <f>SUM(AI189:AI212)</f>
        <v>99269.149204155416</v>
      </c>
      <c r="AJ213" s="86">
        <f>SUM(AJ189:AJ212)</f>
        <v>114924.69057625061</v>
      </c>
      <c r="AL213" s="86">
        <f>SUM(AL189:AL212)</f>
        <v>216335.77817821008</v>
      </c>
      <c r="AM213" s="86">
        <f>SUM(AM189:AM212)</f>
        <v>100261.84069619696</v>
      </c>
      <c r="AN213" s="86">
        <f>SUM(AN189:AN212)</f>
        <v>116073.93748201315</v>
      </c>
      <c r="AO213" s="165"/>
    </row>
    <row r="214" spans="1:41" x14ac:dyDescent="0.25">
      <c r="A214" s="131"/>
      <c r="B214" s="77"/>
      <c r="C214" s="77"/>
      <c r="D214" s="77"/>
      <c r="E214" s="77"/>
      <c r="F214" s="90"/>
      <c r="J214" s="129" t="str">
        <f>IF(J213="*","*","")</f>
        <v>*</v>
      </c>
      <c r="L214" s="132">
        <f t="shared" si="194"/>
        <v>0</v>
      </c>
      <c r="M214" s="132">
        <f t="shared" ref="M214:M225" si="837">IF(E214&gt;299,G214,0)</f>
        <v>0</v>
      </c>
      <c r="N214" s="130"/>
      <c r="O214" s="136"/>
      <c r="P214" s="136">
        <f>IF(B214=432,G214,0)</f>
        <v>0</v>
      </c>
      <c r="Q214" s="136">
        <f t="shared" ref="Q214:Q225" si="838">IF(B214=410,H214,0)</f>
        <v>0</v>
      </c>
      <c r="R214" s="136">
        <f t="shared" ref="R214:R225" si="839">IF(B214=432,H214,0)</f>
        <v>0</v>
      </c>
      <c r="S214" s="136">
        <f t="shared" ref="S214:S225" si="840">IF(B214=432,I214,0)</f>
        <v>0</v>
      </c>
      <c r="T214" s="136">
        <f t="shared" si="835"/>
        <v>0</v>
      </c>
      <c r="U214" s="136">
        <f t="shared" si="835"/>
        <v>0</v>
      </c>
      <c r="V214" s="136">
        <f t="shared" ref="V214:V225" si="841">IF(B214=360,I214,0)</f>
        <v>0</v>
      </c>
      <c r="W214" s="136">
        <f t="shared" ref="W214:W225" si="842">IF(B214=410,I214,0)</f>
        <v>0</v>
      </c>
      <c r="X214" s="130">
        <f t="shared" si="305"/>
        <v>0</v>
      </c>
      <c r="AO214" s="165"/>
    </row>
    <row r="215" spans="1:41" s="1" customFormat="1" ht="13.2" hidden="1" customHeight="1" x14ac:dyDescent="0.25">
      <c r="A215" s="131">
        <v>1</v>
      </c>
      <c r="B215" s="134">
        <v>100</v>
      </c>
      <c r="C215" s="134">
        <v>4000</v>
      </c>
      <c r="D215" s="134">
        <v>6200</v>
      </c>
      <c r="E215" s="134">
        <v>120</v>
      </c>
      <c r="F215" s="134" t="s">
        <v>65</v>
      </c>
      <c r="G215" s="132"/>
      <c r="H215" s="132"/>
      <c r="I215" s="132"/>
      <c r="J215" s="129" t="str">
        <f t="shared" ref="J215:J224" si="843">IF(G215&gt;0.49,"*","")</f>
        <v/>
      </c>
      <c r="K215" s="129"/>
      <c r="L215" s="132">
        <f t="shared" ref="L215:L308" si="844">IF(E215&lt;300,G215,0)</f>
        <v>0</v>
      </c>
      <c r="M215" s="132">
        <f t="shared" si="837"/>
        <v>0</v>
      </c>
      <c r="N215" s="130"/>
      <c r="O215" s="136"/>
      <c r="P215" s="136">
        <f t="shared" ref="P215:P224" si="845">IF(B215=490,G215,0)</f>
        <v>0</v>
      </c>
      <c r="Q215" s="136">
        <f t="shared" si="838"/>
        <v>0</v>
      </c>
      <c r="R215" s="136">
        <f t="shared" si="839"/>
        <v>0</v>
      </c>
      <c r="S215" s="136">
        <f t="shared" si="840"/>
        <v>0</v>
      </c>
      <c r="T215" s="136">
        <f t="shared" si="835"/>
        <v>0</v>
      </c>
      <c r="U215" s="136">
        <f t="shared" si="835"/>
        <v>0</v>
      </c>
      <c r="V215" s="136">
        <f t="shared" si="841"/>
        <v>0</v>
      </c>
      <c r="W215" s="136">
        <f t="shared" si="842"/>
        <v>0</v>
      </c>
      <c r="X215" s="130">
        <f t="shared" si="305"/>
        <v>0</v>
      </c>
      <c r="Y215" s="129"/>
      <c r="Z215" s="132">
        <f>AA215+AB215</f>
        <v>0</v>
      </c>
      <c r="AA215" s="132">
        <f>(H215)/H$11*AA$11*Inf</f>
        <v>0</v>
      </c>
      <c r="AB215" s="132">
        <f>(I215)/I$11*AB$11*Inf</f>
        <v>0</v>
      </c>
      <c r="AC215" s="77"/>
      <c r="AD215" s="103">
        <f t="shared" ref="AD215:AD221" si="846">AE215+AF215</f>
        <v>0</v>
      </c>
      <c r="AE215" s="103">
        <f>(AA215)/AA$11*AE$11*Inf</f>
        <v>0</v>
      </c>
      <c r="AF215" s="103">
        <f>(AB215)/AB$11*AF$11*Inf</f>
        <v>0</v>
      </c>
      <c r="AG215" s="77"/>
      <c r="AH215" s="103">
        <f t="shared" ref="AH215:AH221" si="847">AI215+AJ215</f>
        <v>0</v>
      </c>
      <c r="AI215" s="103">
        <f>(AE215)/AE$11*AI$11*Inf</f>
        <v>0</v>
      </c>
      <c r="AJ215" s="103">
        <f>(AF215)/AF$11*AJ$11*Inf</f>
        <v>0</v>
      </c>
      <c r="AK215" s="77"/>
      <c r="AL215" s="103">
        <f t="shared" ref="AL215:AL221" si="848">AM215+AN215</f>
        <v>0</v>
      </c>
      <c r="AM215" s="103">
        <f>(AI215)/AI$11*AM$11*Inf</f>
        <v>0</v>
      </c>
      <c r="AN215" s="103">
        <f>(AJ215)/AJ$11*AN$11*Inf</f>
        <v>0</v>
      </c>
      <c r="AO215" s="165" t="s">
        <v>42</v>
      </c>
    </row>
    <row r="216" spans="1:41" s="1" customFormat="1" ht="13.2" hidden="1" customHeight="1" x14ac:dyDescent="0.25">
      <c r="A216" s="131">
        <v>1</v>
      </c>
      <c r="B216" s="134">
        <v>100</v>
      </c>
      <c r="C216" s="134">
        <v>4000</v>
      </c>
      <c r="D216" s="134">
        <v>6200</v>
      </c>
      <c r="E216" s="134">
        <v>130</v>
      </c>
      <c r="F216" s="134" t="s">
        <v>66</v>
      </c>
      <c r="G216" s="132"/>
      <c r="H216" s="132"/>
      <c r="I216" s="132"/>
      <c r="J216" s="129" t="str">
        <f t="shared" si="843"/>
        <v/>
      </c>
      <c r="K216" s="129"/>
      <c r="L216" s="132">
        <f t="shared" si="844"/>
        <v>0</v>
      </c>
      <c r="M216" s="132">
        <f t="shared" si="837"/>
        <v>0</v>
      </c>
      <c r="N216" s="130"/>
      <c r="O216" s="136"/>
      <c r="P216" s="136">
        <f t="shared" si="845"/>
        <v>0</v>
      </c>
      <c r="Q216" s="136">
        <f t="shared" si="838"/>
        <v>0</v>
      </c>
      <c r="R216" s="136">
        <f t="shared" si="839"/>
        <v>0</v>
      </c>
      <c r="S216" s="136">
        <f t="shared" si="840"/>
        <v>0</v>
      </c>
      <c r="T216" s="136">
        <f t="shared" si="835"/>
        <v>0</v>
      </c>
      <c r="U216" s="136">
        <f t="shared" si="835"/>
        <v>0</v>
      </c>
      <c r="V216" s="136">
        <f t="shared" si="841"/>
        <v>0</v>
      </c>
      <c r="W216" s="136">
        <f t="shared" si="842"/>
        <v>0</v>
      </c>
      <c r="X216" s="130">
        <f t="shared" si="305"/>
        <v>0</v>
      </c>
      <c r="Y216" s="129"/>
      <c r="Z216" s="132">
        <f t="shared" ref="Z216:Z221" si="849">AA216+AB216</f>
        <v>0</v>
      </c>
      <c r="AA216" s="132">
        <f>(H216)/H$11*AA$11*Inf</f>
        <v>0</v>
      </c>
      <c r="AB216" s="132">
        <f>(I216)/I$11*AB$11*Inf</f>
        <v>0</v>
      </c>
      <c r="AC216" s="77"/>
      <c r="AD216" s="103">
        <f t="shared" si="846"/>
        <v>0</v>
      </c>
      <c r="AE216" s="103">
        <f>(AA216)/AA$11*AE$11*Inf</f>
        <v>0</v>
      </c>
      <c r="AF216" s="103">
        <f>(AB216)/AB$11*AF$11*Inf</f>
        <v>0</v>
      </c>
      <c r="AG216" s="77"/>
      <c r="AH216" s="103">
        <f t="shared" si="847"/>
        <v>0</v>
      </c>
      <c r="AI216" s="103">
        <f>(AE216)/AE$11*AI$11*Inf</f>
        <v>0</v>
      </c>
      <c r="AJ216" s="103">
        <f>(AF216)/AF$11*AJ$11*Inf</f>
        <v>0</v>
      </c>
      <c r="AK216" s="77"/>
      <c r="AL216" s="103">
        <f t="shared" si="848"/>
        <v>0</v>
      </c>
      <c r="AM216" s="103">
        <f>(AI216)/AI$11*AM$11*Inf</f>
        <v>0</v>
      </c>
      <c r="AN216" s="103">
        <f>(AJ216)/AJ$11*AN$11*Inf</f>
        <v>0</v>
      </c>
      <c r="AO216" s="165" t="s">
        <v>42</v>
      </c>
    </row>
    <row r="217" spans="1:41" s="1" customFormat="1" ht="13.2" hidden="1" customHeight="1" x14ac:dyDescent="0.25">
      <c r="A217" s="131">
        <v>1</v>
      </c>
      <c r="B217" s="134">
        <v>100</v>
      </c>
      <c r="C217" s="134">
        <v>4000</v>
      </c>
      <c r="D217" s="134">
        <v>6200</v>
      </c>
      <c r="E217" s="134">
        <v>210</v>
      </c>
      <c r="F217" s="134" t="s">
        <v>45</v>
      </c>
      <c r="G217" s="132"/>
      <c r="H217" s="132"/>
      <c r="I217" s="132"/>
      <c r="J217" s="129" t="str">
        <f t="shared" si="843"/>
        <v/>
      </c>
      <c r="K217" s="129"/>
      <c r="L217" s="132">
        <f t="shared" si="844"/>
        <v>0</v>
      </c>
      <c r="M217" s="132">
        <f t="shared" si="837"/>
        <v>0</v>
      </c>
      <c r="N217" s="130"/>
      <c r="O217" s="136"/>
      <c r="P217" s="136">
        <f t="shared" si="845"/>
        <v>0</v>
      </c>
      <c r="Q217" s="136">
        <f t="shared" si="838"/>
        <v>0</v>
      </c>
      <c r="R217" s="136">
        <f t="shared" si="839"/>
        <v>0</v>
      </c>
      <c r="S217" s="136">
        <f t="shared" si="840"/>
        <v>0</v>
      </c>
      <c r="T217" s="136">
        <f t="shared" si="835"/>
        <v>0</v>
      </c>
      <c r="U217" s="136">
        <f t="shared" si="835"/>
        <v>0</v>
      </c>
      <c r="V217" s="136">
        <f t="shared" si="841"/>
        <v>0</v>
      </c>
      <c r="W217" s="136">
        <f t="shared" si="842"/>
        <v>0</v>
      </c>
      <c r="X217" s="130">
        <f t="shared" si="305"/>
        <v>0</v>
      </c>
      <c r="Y217" s="129"/>
      <c r="Z217" s="132">
        <f t="shared" si="849"/>
        <v>0</v>
      </c>
      <c r="AA217" s="132">
        <f>SUM(AA$215:AA$216)*10%</f>
        <v>0</v>
      </c>
      <c r="AB217" s="132">
        <f>SUM(AB$215:AB$216)*10%</f>
        <v>0</v>
      </c>
      <c r="AC217" s="129"/>
      <c r="AD217" s="103">
        <f t="shared" si="846"/>
        <v>0</v>
      </c>
      <c r="AE217" s="132">
        <f>SUM(AE$215:AE$216)*10%</f>
        <v>0</v>
      </c>
      <c r="AF217" s="132">
        <f>SUM(AF$215:AF$216)*10%</f>
        <v>0</v>
      </c>
      <c r="AG217" s="129"/>
      <c r="AH217" s="103">
        <f t="shared" si="847"/>
        <v>0</v>
      </c>
      <c r="AI217" s="132">
        <f>SUM(AI$215:AI$216)*10%</f>
        <v>0</v>
      </c>
      <c r="AJ217" s="132">
        <f>SUM(AJ$215:AJ$216)*10%</f>
        <v>0</v>
      </c>
      <c r="AK217" s="129"/>
      <c r="AL217" s="103">
        <f t="shared" si="848"/>
        <v>0</v>
      </c>
      <c r="AM217" s="132">
        <f>SUM(AM$215:AM$216)*10%</f>
        <v>0</v>
      </c>
      <c r="AN217" s="132">
        <f>SUM(AN$215:AN$216)*10%</f>
        <v>0</v>
      </c>
      <c r="AO217" s="165" t="s">
        <v>56</v>
      </c>
    </row>
    <row r="218" spans="1:41" s="1" customFormat="1" ht="13.2" hidden="1" customHeight="1" x14ac:dyDescent="0.25">
      <c r="A218" s="131">
        <v>1</v>
      </c>
      <c r="B218" s="134">
        <v>100</v>
      </c>
      <c r="C218" s="134">
        <v>4000</v>
      </c>
      <c r="D218" s="134">
        <v>6200</v>
      </c>
      <c r="E218" s="134">
        <v>220</v>
      </c>
      <c r="F218" s="134" t="s">
        <v>47</v>
      </c>
      <c r="G218" s="132"/>
      <c r="H218" s="132"/>
      <c r="I218" s="132"/>
      <c r="J218" s="129" t="str">
        <f t="shared" si="843"/>
        <v/>
      </c>
      <c r="K218" s="129"/>
      <c r="L218" s="132">
        <f t="shared" si="844"/>
        <v>0</v>
      </c>
      <c r="M218" s="132">
        <f t="shared" si="837"/>
        <v>0</v>
      </c>
      <c r="N218" s="130"/>
      <c r="O218" s="136"/>
      <c r="P218" s="136">
        <f t="shared" si="845"/>
        <v>0</v>
      </c>
      <c r="Q218" s="136">
        <f t="shared" si="838"/>
        <v>0</v>
      </c>
      <c r="R218" s="136">
        <f t="shared" si="839"/>
        <v>0</v>
      </c>
      <c r="S218" s="136">
        <f t="shared" si="840"/>
        <v>0</v>
      </c>
      <c r="T218" s="136">
        <f t="shared" si="835"/>
        <v>0</v>
      </c>
      <c r="U218" s="136">
        <f t="shared" si="835"/>
        <v>0</v>
      </c>
      <c r="V218" s="136">
        <f t="shared" si="841"/>
        <v>0</v>
      </c>
      <c r="W218" s="136">
        <f t="shared" si="842"/>
        <v>0</v>
      </c>
      <c r="X218" s="130">
        <f t="shared" si="305"/>
        <v>0</v>
      </c>
      <c r="Y218" s="129"/>
      <c r="Z218" s="132">
        <f t="shared" si="849"/>
        <v>0</v>
      </c>
      <c r="AA218" s="132">
        <f>SUM(AA$215:AA$216)*7.65%</f>
        <v>0</v>
      </c>
      <c r="AB218" s="132">
        <f>SUM(AB$215:AB$216)*7.65%</f>
        <v>0</v>
      </c>
      <c r="AC218" s="129"/>
      <c r="AD218" s="103">
        <f t="shared" si="846"/>
        <v>0</v>
      </c>
      <c r="AE218" s="132">
        <f>SUM(AE$215:AE$216)*7.65%</f>
        <v>0</v>
      </c>
      <c r="AF218" s="132">
        <f>SUM(AF$215:AF$216)*7.65%</f>
        <v>0</v>
      </c>
      <c r="AG218" s="129"/>
      <c r="AH218" s="103">
        <f t="shared" si="847"/>
        <v>0</v>
      </c>
      <c r="AI218" s="132">
        <f>SUM(AI$215:AI$216)*7.65%</f>
        <v>0</v>
      </c>
      <c r="AJ218" s="132">
        <f>SUM(AJ$215:AJ$216)*7.65%</f>
        <v>0</v>
      </c>
      <c r="AK218" s="129"/>
      <c r="AL218" s="103">
        <f t="shared" si="848"/>
        <v>0</v>
      </c>
      <c r="AM218" s="132">
        <f>SUM(AM$215:AM$216)*7.65%</f>
        <v>0</v>
      </c>
      <c r="AN218" s="132">
        <f>SUM(AN$215:AN$216)*7.65%</f>
        <v>0</v>
      </c>
      <c r="AO218" s="165" t="s">
        <v>57</v>
      </c>
    </row>
    <row r="219" spans="1:41" s="1" customFormat="1" ht="13.2" hidden="1" customHeight="1" x14ac:dyDescent="0.25">
      <c r="A219" s="131">
        <v>1</v>
      </c>
      <c r="B219" s="134">
        <v>100</v>
      </c>
      <c r="C219" s="134">
        <v>4000</v>
      </c>
      <c r="D219" s="134">
        <v>6200</v>
      </c>
      <c r="E219" s="134">
        <v>230</v>
      </c>
      <c r="F219" s="134" t="s">
        <v>49</v>
      </c>
      <c r="G219" s="132"/>
      <c r="H219" s="132"/>
      <c r="I219" s="132"/>
      <c r="J219" s="129" t="str">
        <f t="shared" si="843"/>
        <v/>
      </c>
      <c r="K219" s="129"/>
      <c r="L219" s="132">
        <f t="shared" si="844"/>
        <v>0</v>
      </c>
      <c r="M219" s="132">
        <f t="shared" si="837"/>
        <v>0</v>
      </c>
      <c r="N219" s="130"/>
      <c r="O219" s="136"/>
      <c r="P219" s="136">
        <f t="shared" si="845"/>
        <v>0</v>
      </c>
      <c r="Q219" s="136">
        <f t="shared" si="838"/>
        <v>0</v>
      </c>
      <c r="R219" s="136">
        <f t="shared" si="839"/>
        <v>0</v>
      </c>
      <c r="S219" s="136">
        <f t="shared" si="840"/>
        <v>0</v>
      </c>
      <c r="T219" s="136">
        <f t="shared" si="835"/>
        <v>0</v>
      </c>
      <c r="U219" s="136">
        <f t="shared" si="835"/>
        <v>0</v>
      </c>
      <c r="V219" s="136">
        <f t="shared" si="841"/>
        <v>0</v>
      </c>
      <c r="W219" s="136">
        <f t="shared" si="842"/>
        <v>0</v>
      </c>
      <c r="X219" s="130">
        <f t="shared" si="305"/>
        <v>0</v>
      </c>
      <c r="Y219" s="129"/>
      <c r="Z219" s="132">
        <f t="shared" si="849"/>
        <v>0</v>
      </c>
      <c r="AA219" s="132">
        <v>0</v>
      </c>
      <c r="AB219" s="132">
        <v>0</v>
      </c>
      <c r="AC219" s="129"/>
      <c r="AD219" s="132">
        <f t="shared" si="846"/>
        <v>0</v>
      </c>
      <c r="AE219" s="132">
        <v>0</v>
      </c>
      <c r="AF219" s="132">
        <v>0</v>
      </c>
      <c r="AG219" s="129"/>
      <c r="AH219" s="132">
        <f t="shared" si="847"/>
        <v>0</v>
      </c>
      <c r="AI219" s="132">
        <v>0</v>
      </c>
      <c r="AJ219" s="132">
        <v>0</v>
      </c>
      <c r="AK219" s="129"/>
      <c r="AL219" s="132">
        <f t="shared" si="848"/>
        <v>0</v>
      </c>
      <c r="AM219" s="132">
        <v>0</v>
      </c>
      <c r="AN219" s="132">
        <v>0</v>
      </c>
      <c r="AO219" s="165" t="s">
        <v>50</v>
      </c>
    </row>
    <row r="220" spans="1:41" s="1" customFormat="1" ht="12" hidden="1" customHeight="1" x14ac:dyDescent="0.25">
      <c r="A220" s="131">
        <v>1</v>
      </c>
      <c r="B220" s="134">
        <v>100</v>
      </c>
      <c r="C220" s="134">
        <v>4000</v>
      </c>
      <c r="D220" s="134">
        <v>6200</v>
      </c>
      <c r="E220" s="134">
        <v>240</v>
      </c>
      <c r="F220" s="134" t="s">
        <v>51</v>
      </c>
      <c r="G220" s="132"/>
      <c r="H220" s="132"/>
      <c r="I220" s="132"/>
      <c r="J220" s="129" t="str">
        <f t="shared" si="843"/>
        <v/>
      </c>
      <c r="K220" s="129"/>
      <c r="L220" s="132">
        <f t="shared" si="844"/>
        <v>0</v>
      </c>
      <c r="M220" s="132">
        <f t="shared" si="837"/>
        <v>0</v>
      </c>
      <c r="N220" s="130"/>
      <c r="O220" s="136"/>
      <c r="P220" s="136">
        <f t="shared" si="845"/>
        <v>0</v>
      </c>
      <c r="Q220" s="136">
        <f t="shared" si="838"/>
        <v>0</v>
      </c>
      <c r="R220" s="136">
        <f t="shared" si="839"/>
        <v>0</v>
      </c>
      <c r="S220" s="136">
        <f t="shared" si="840"/>
        <v>0</v>
      </c>
      <c r="T220" s="136">
        <f t="shared" si="835"/>
        <v>0</v>
      </c>
      <c r="U220" s="136">
        <f t="shared" si="835"/>
        <v>0</v>
      </c>
      <c r="V220" s="136">
        <f t="shared" si="841"/>
        <v>0</v>
      </c>
      <c r="W220" s="136">
        <f t="shared" si="842"/>
        <v>0</v>
      </c>
      <c r="X220" s="130">
        <f t="shared" si="305"/>
        <v>0</v>
      </c>
      <c r="Y220" s="129"/>
      <c r="Z220" s="132">
        <f t="shared" si="849"/>
        <v>0</v>
      </c>
      <c r="AA220" s="132">
        <v>0</v>
      </c>
      <c r="AB220" s="132">
        <v>0</v>
      </c>
      <c r="AC220" s="129"/>
      <c r="AD220" s="132">
        <f t="shared" si="846"/>
        <v>0</v>
      </c>
      <c r="AE220" s="132">
        <v>0</v>
      </c>
      <c r="AF220" s="132">
        <v>0</v>
      </c>
      <c r="AG220" s="129"/>
      <c r="AH220" s="132">
        <f t="shared" si="847"/>
        <v>0</v>
      </c>
      <c r="AI220" s="132">
        <v>0</v>
      </c>
      <c r="AJ220" s="132">
        <v>0</v>
      </c>
      <c r="AK220" s="129"/>
      <c r="AL220" s="132">
        <f t="shared" si="848"/>
        <v>0</v>
      </c>
      <c r="AM220" s="132">
        <v>0</v>
      </c>
      <c r="AN220" s="132">
        <v>0</v>
      </c>
      <c r="AO220" s="165" t="s">
        <v>50</v>
      </c>
    </row>
    <row r="221" spans="1:41" s="1" customFormat="1" ht="13.2" hidden="1" customHeight="1" x14ac:dyDescent="0.25">
      <c r="A221" s="131">
        <v>1</v>
      </c>
      <c r="B221" s="134">
        <v>100</v>
      </c>
      <c r="C221" s="134">
        <v>4000</v>
      </c>
      <c r="D221" s="134">
        <v>6200</v>
      </c>
      <c r="E221" s="134">
        <v>250</v>
      </c>
      <c r="F221" s="134" t="s">
        <v>52</v>
      </c>
      <c r="G221" s="132"/>
      <c r="H221" s="132"/>
      <c r="I221" s="132"/>
      <c r="J221" s="129" t="str">
        <f t="shared" si="843"/>
        <v/>
      </c>
      <c r="K221" s="129"/>
      <c r="L221" s="132">
        <f t="shared" si="844"/>
        <v>0</v>
      </c>
      <c r="M221" s="132">
        <f t="shared" si="837"/>
        <v>0</v>
      </c>
      <c r="N221" s="130"/>
      <c r="O221" s="136"/>
      <c r="P221" s="136">
        <f t="shared" si="845"/>
        <v>0</v>
      </c>
      <c r="Q221" s="136">
        <f t="shared" si="838"/>
        <v>0</v>
      </c>
      <c r="R221" s="136">
        <f t="shared" si="839"/>
        <v>0</v>
      </c>
      <c r="S221" s="136">
        <f t="shared" si="840"/>
        <v>0</v>
      </c>
      <c r="T221" s="136">
        <f t="shared" si="835"/>
        <v>0</v>
      </c>
      <c r="U221" s="136">
        <f t="shared" si="835"/>
        <v>0</v>
      </c>
      <c r="V221" s="136">
        <f t="shared" si="841"/>
        <v>0</v>
      </c>
      <c r="W221" s="136">
        <f t="shared" si="842"/>
        <v>0</v>
      </c>
      <c r="X221" s="130">
        <f t="shared" si="305"/>
        <v>0</v>
      </c>
      <c r="Y221" s="129"/>
      <c r="Z221" s="132">
        <f t="shared" si="849"/>
        <v>0</v>
      </c>
      <c r="AA221" s="132">
        <v>0</v>
      </c>
      <c r="AB221" s="132">
        <v>0</v>
      </c>
      <c r="AC221" s="129"/>
      <c r="AD221" s="132">
        <f t="shared" si="846"/>
        <v>0</v>
      </c>
      <c r="AE221" s="132">
        <v>0</v>
      </c>
      <c r="AF221" s="132">
        <v>0</v>
      </c>
      <c r="AG221" s="129"/>
      <c r="AH221" s="132">
        <f t="shared" si="847"/>
        <v>0</v>
      </c>
      <c r="AI221" s="132">
        <v>0</v>
      </c>
      <c r="AJ221" s="132">
        <v>0</v>
      </c>
      <c r="AK221" s="129"/>
      <c r="AL221" s="132">
        <f t="shared" si="848"/>
        <v>0</v>
      </c>
      <c r="AM221" s="132">
        <v>0</v>
      </c>
      <c r="AN221" s="132">
        <v>0</v>
      </c>
      <c r="AO221" s="165" t="s">
        <v>50</v>
      </c>
    </row>
    <row r="222" spans="1:41" s="1" customFormat="1" ht="13.2" hidden="1" customHeight="1" x14ac:dyDescent="0.25">
      <c r="A222" s="131"/>
      <c r="B222" s="134"/>
      <c r="C222" s="134"/>
      <c r="D222" s="134"/>
      <c r="E222" s="134"/>
      <c r="F222" s="134"/>
      <c r="G222" s="136"/>
      <c r="H222" s="136"/>
      <c r="I222" s="136"/>
      <c r="J222" s="129" t="str">
        <f t="shared" si="843"/>
        <v/>
      </c>
      <c r="K222" s="129"/>
      <c r="L222" s="132">
        <f t="shared" si="844"/>
        <v>0</v>
      </c>
      <c r="M222" s="132">
        <f t="shared" si="837"/>
        <v>0</v>
      </c>
      <c r="N222" s="130"/>
      <c r="O222" s="136"/>
      <c r="P222" s="136">
        <f t="shared" si="845"/>
        <v>0</v>
      </c>
      <c r="Q222" s="136">
        <f t="shared" si="838"/>
        <v>0</v>
      </c>
      <c r="R222" s="136">
        <f t="shared" si="839"/>
        <v>0</v>
      </c>
      <c r="S222" s="136">
        <f t="shared" si="840"/>
        <v>0</v>
      </c>
      <c r="T222" s="136">
        <f t="shared" si="835"/>
        <v>0</v>
      </c>
      <c r="U222" s="136">
        <f t="shared" si="835"/>
        <v>0</v>
      </c>
      <c r="V222" s="136">
        <f t="shared" si="841"/>
        <v>0</v>
      </c>
      <c r="W222" s="136">
        <f t="shared" si="842"/>
        <v>0</v>
      </c>
      <c r="X222" s="130">
        <f t="shared" si="305"/>
        <v>0</v>
      </c>
      <c r="Y222" s="129"/>
      <c r="Z222" s="136"/>
      <c r="AA222" s="136"/>
      <c r="AB222" s="136"/>
      <c r="AC222" s="129"/>
      <c r="AD222" s="136"/>
      <c r="AE222" s="136"/>
      <c r="AF222" s="136"/>
      <c r="AG222" s="129"/>
      <c r="AH222" s="136"/>
      <c r="AI222" s="136"/>
      <c r="AJ222" s="136"/>
      <c r="AK222" s="129"/>
      <c r="AL222" s="136"/>
      <c r="AM222" s="136"/>
      <c r="AN222" s="136"/>
      <c r="AO222" s="165"/>
    </row>
    <row r="223" spans="1:41" s="1" customFormat="1" x14ac:dyDescent="0.25">
      <c r="A223" s="131"/>
      <c r="B223" s="63">
        <f>+'Expense Input'!B55</f>
        <v>100</v>
      </c>
      <c r="C223" s="63">
        <f>+'Expense Input'!C55</f>
        <v>4000</v>
      </c>
      <c r="D223" s="63">
        <f>+'Expense Input'!D55</f>
        <v>6200</v>
      </c>
      <c r="E223" s="63">
        <f>+'Expense Input'!E55</f>
        <v>610</v>
      </c>
      <c r="F223" s="63" t="str">
        <f>+'Expense Input'!F55</f>
        <v>Other Books and Materials</v>
      </c>
      <c r="G223" s="64">
        <f>+'Expense Input'!Q55</f>
        <v>3903.0139293951306</v>
      </c>
      <c r="H223" s="64">
        <f>+'Expense Input'!R55</f>
        <v>2473.7483670628544</v>
      </c>
      <c r="I223" s="64">
        <f>+'Expense Input'!S55</f>
        <v>1429.2655623322764</v>
      </c>
      <c r="J223" s="129" t="str">
        <f t="shared" si="843"/>
        <v>*</v>
      </c>
      <c r="K223" s="129"/>
      <c r="L223" s="132">
        <f t="shared" si="844"/>
        <v>0</v>
      </c>
      <c r="M223" s="132">
        <f t="shared" si="837"/>
        <v>3903.0139293951306</v>
      </c>
      <c r="N223" s="130"/>
      <c r="O223" s="136"/>
      <c r="P223" s="136">
        <f t="shared" si="845"/>
        <v>0</v>
      </c>
      <c r="Q223" s="136">
        <f t="shared" si="838"/>
        <v>0</v>
      </c>
      <c r="R223" s="136">
        <f t="shared" si="839"/>
        <v>0</v>
      </c>
      <c r="S223" s="136">
        <f t="shared" si="840"/>
        <v>0</v>
      </c>
      <c r="T223" s="136">
        <f t="shared" si="835"/>
        <v>0</v>
      </c>
      <c r="U223" s="136">
        <f t="shared" si="835"/>
        <v>0</v>
      </c>
      <c r="V223" s="136">
        <f t="shared" si="841"/>
        <v>0</v>
      </c>
      <c r="W223" s="136">
        <f t="shared" si="842"/>
        <v>0</v>
      </c>
      <c r="X223" s="130">
        <f t="shared" si="305"/>
        <v>0</v>
      </c>
      <c r="Y223" s="129"/>
      <c r="Z223" s="103">
        <f t="shared" ref="Z223" si="850">AA223+AB223</f>
        <v>4746.5035303333161</v>
      </c>
      <c r="AA223" s="103">
        <f>+H223/H$11*AA$11*Inf</f>
        <v>2706.6930049612738</v>
      </c>
      <c r="AB223" s="103">
        <f>+I223/I$11*AB$11*Inf</f>
        <v>2039.8105253720421</v>
      </c>
      <c r="AC223" s="77"/>
      <c r="AD223" s="103">
        <f t="shared" ref="AD223" si="851">AE223+AF223</f>
        <v>4793.9685656366491</v>
      </c>
      <c r="AE223" s="103">
        <f>+AA223/AA$11*AE$11*Inf</f>
        <v>2733.7599350108867</v>
      </c>
      <c r="AF223" s="103">
        <f>+AB223/AB$11*AF$11*Inf</f>
        <v>2060.2086306257625</v>
      </c>
      <c r="AG223" s="77"/>
      <c r="AH223" s="103">
        <f t="shared" ref="AH223" si="852">AI223+AJ223</f>
        <v>5214.3627321617096</v>
      </c>
      <c r="AI223" s="103">
        <f>+AE223/AE$11*AI$11*Inf</f>
        <v>2973.4896523887642</v>
      </c>
      <c r="AJ223" s="103">
        <f>+AF223/AF$11*AJ$11*Inf</f>
        <v>2240.8730797729449</v>
      </c>
      <c r="AK223" s="77"/>
      <c r="AL223" s="103">
        <f t="shared" ref="AL223" si="853">AM223+AN223</f>
        <v>5266.5063594833255</v>
      </c>
      <c r="AM223" s="103">
        <f>+AI223/AI$11*AM$11*Inf</f>
        <v>3003.2245489126512</v>
      </c>
      <c r="AN223" s="103">
        <f>+AJ223/AJ$11*AN$11*Inf</f>
        <v>2263.2818105706742</v>
      </c>
      <c r="AO223" s="165" t="s">
        <v>42</v>
      </c>
    </row>
    <row r="224" spans="1:41" s="1" customFormat="1" ht="13.2" hidden="1" customHeight="1" x14ac:dyDescent="0.25">
      <c r="A224" s="131"/>
      <c r="B224" s="63"/>
      <c r="C224" s="63"/>
      <c r="D224" s="63"/>
      <c r="E224" s="63"/>
      <c r="F224" s="63"/>
      <c r="G224" s="64"/>
      <c r="H224" s="64"/>
      <c r="I224" s="64"/>
      <c r="J224" s="129" t="str">
        <f t="shared" si="843"/>
        <v/>
      </c>
      <c r="K224" s="129"/>
      <c r="L224" s="132">
        <f t="shared" si="844"/>
        <v>0</v>
      </c>
      <c r="M224" s="132">
        <f t="shared" si="837"/>
        <v>0</v>
      </c>
      <c r="N224" s="130"/>
      <c r="O224" s="136"/>
      <c r="P224" s="136">
        <f t="shared" si="845"/>
        <v>0</v>
      </c>
      <c r="Q224" s="136">
        <f t="shared" si="838"/>
        <v>0</v>
      </c>
      <c r="R224" s="136">
        <f t="shared" si="839"/>
        <v>0</v>
      </c>
      <c r="S224" s="136">
        <f t="shared" si="840"/>
        <v>0</v>
      </c>
      <c r="T224" s="136">
        <f t="shared" si="835"/>
        <v>0</v>
      </c>
      <c r="U224" s="136">
        <f t="shared" si="835"/>
        <v>0</v>
      </c>
      <c r="V224" s="136">
        <f t="shared" si="841"/>
        <v>0</v>
      </c>
      <c r="W224" s="136">
        <f t="shared" si="842"/>
        <v>0</v>
      </c>
      <c r="X224" s="130">
        <f t="shared" ref="X224:X326" si="854">+W224+Q224-O224</f>
        <v>0</v>
      </c>
      <c r="Y224" s="129"/>
      <c r="Z224" s="64"/>
      <c r="AA224" s="64"/>
      <c r="AB224" s="64"/>
      <c r="AC224" s="129"/>
      <c r="AD224" s="64"/>
      <c r="AE224" s="64"/>
      <c r="AF224" s="64"/>
      <c r="AG224" s="129"/>
      <c r="AH224" s="64"/>
      <c r="AI224" s="64"/>
      <c r="AJ224" s="64"/>
      <c r="AK224" s="129"/>
      <c r="AL224" s="64"/>
      <c r="AM224" s="64"/>
      <c r="AN224" s="64"/>
      <c r="AO224" s="165"/>
    </row>
    <row r="225" spans="1:41" s="1" customFormat="1" x14ac:dyDescent="0.25">
      <c r="A225" s="131"/>
      <c r="B225" s="134"/>
      <c r="C225" s="134"/>
      <c r="D225" s="134"/>
      <c r="E225" s="134"/>
      <c r="F225" s="134"/>
      <c r="G225" s="132"/>
      <c r="H225" s="132"/>
      <c r="I225" s="132"/>
      <c r="J225" s="129" t="str">
        <f>IF(J226="*","*","")</f>
        <v>*</v>
      </c>
      <c r="K225" s="129"/>
      <c r="L225" s="132">
        <f t="shared" si="844"/>
        <v>0</v>
      </c>
      <c r="M225" s="132">
        <f t="shared" si="837"/>
        <v>0</v>
      </c>
      <c r="N225" s="130"/>
      <c r="O225" s="136"/>
      <c r="P225" s="136">
        <f>IF(B225=432,G225,0)</f>
        <v>0</v>
      </c>
      <c r="Q225" s="136">
        <f t="shared" si="838"/>
        <v>0</v>
      </c>
      <c r="R225" s="136">
        <f t="shared" si="839"/>
        <v>0</v>
      </c>
      <c r="S225" s="136">
        <f t="shared" si="840"/>
        <v>0</v>
      </c>
      <c r="T225" s="136">
        <f t="shared" si="835"/>
        <v>0</v>
      </c>
      <c r="U225" s="136">
        <f t="shared" si="835"/>
        <v>0</v>
      </c>
      <c r="V225" s="136">
        <f t="shared" si="841"/>
        <v>0</v>
      </c>
      <c r="W225" s="136">
        <f t="shared" si="842"/>
        <v>0</v>
      </c>
      <c r="X225" s="130">
        <f t="shared" si="854"/>
        <v>0</v>
      </c>
      <c r="Y225" s="129"/>
      <c r="Z225" s="132"/>
      <c r="AA225" s="132"/>
      <c r="AB225" s="132"/>
      <c r="AC225" s="129"/>
      <c r="AD225" s="132"/>
      <c r="AE225" s="132"/>
      <c r="AF225" s="132"/>
      <c r="AG225" s="129"/>
      <c r="AH225" s="132"/>
      <c r="AI225" s="132"/>
      <c r="AJ225" s="132"/>
      <c r="AK225" s="129"/>
      <c r="AL225" s="132"/>
      <c r="AM225" s="132"/>
      <c r="AN225" s="132"/>
      <c r="AO225" s="165"/>
    </row>
    <row r="226" spans="1:41" s="1" customFormat="1" x14ac:dyDescent="0.25">
      <c r="A226" s="131"/>
      <c r="B226" s="3"/>
      <c r="C226" s="3"/>
      <c r="D226" s="3"/>
      <c r="E226" s="3"/>
      <c r="F226" s="8" t="s">
        <v>67</v>
      </c>
      <c r="G226" s="133">
        <f>SUM(G215:G225)</f>
        <v>3903.0139293951306</v>
      </c>
      <c r="H226" s="133">
        <f>SUBTOTAL(9,H223:H225)</f>
        <v>2473.7483670628544</v>
      </c>
      <c r="I226" s="133">
        <f>SUBTOTAL(9,I223:I225)</f>
        <v>1429.2655623322764</v>
      </c>
      <c r="J226" s="129" t="str">
        <f>IF(G226&gt;0.49,"*","")</f>
        <v>*</v>
      </c>
      <c r="K226" s="129"/>
      <c r="L226" s="133">
        <f>SUM(L214:L225)</f>
        <v>0</v>
      </c>
      <c r="M226" s="133">
        <f>SUM(M214:M225)</f>
        <v>3903.0139293951306</v>
      </c>
      <c r="N226" s="130"/>
      <c r="O226" s="133"/>
      <c r="P226" s="133">
        <f t="shared" ref="P226:W226" si="855">SUM(P215:P225)</f>
        <v>0</v>
      </c>
      <c r="Q226" s="133">
        <f t="shared" si="855"/>
        <v>0</v>
      </c>
      <c r="R226" s="133">
        <f t="shared" si="855"/>
        <v>0</v>
      </c>
      <c r="S226" s="133">
        <f t="shared" si="855"/>
        <v>0</v>
      </c>
      <c r="T226" s="133">
        <f t="shared" si="855"/>
        <v>0</v>
      </c>
      <c r="U226" s="133">
        <f t="shared" si="855"/>
        <v>0</v>
      </c>
      <c r="V226" s="133">
        <f t="shared" si="855"/>
        <v>0</v>
      </c>
      <c r="W226" s="133">
        <f t="shared" si="855"/>
        <v>0</v>
      </c>
      <c r="X226" s="130">
        <f t="shared" si="854"/>
        <v>0</v>
      </c>
      <c r="Y226" s="129"/>
      <c r="Z226" s="133">
        <f>SUM(Z215:Z225)</f>
        <v>4746.5035303333161</v>
      </c>
      <c r="AA226" s="133">
        <f>SUBTOTAL(9,AA223:AA225)</f>
        <v>2706.6930049612738</v>
      </c>
      <c r="AB226" s="133">
        <f>SUBTOTAL(9,AB223:AB225)</f>
        <v>2039.8105253720421</v>
      </c>
      <c r="AC226" s="129"/>
      <c r="AD226" s="133">
        <f>SUM(AD215:AD225)</f>
        <v>4793.9685656366491</v>
      </c>
      <c r="AE226" s="133">
        <f>SUBTOTAL(9,AE223:AE225)</f>
        <v>2733.7599350108867</v>
      </c>
      <c r="AF226" s="133">
        <f>SUBTOTAL(9,AF223:AF225)</f>
        <v>2060.2086306257625</v>
      </c>
      <c r="AG226" s="129"/>
      <c r="AH226" s="133">
        <f>SUM(AH215:AH225)</f>
        <v>5214.3627321617096</v>
      </c>
      <c r="AI226" s="133">
        <f>SUBTOTAL(9,AI223:AI225)</f>
        <v>2973.4896523887642</v>
      </c>
      <c r="AJ226" s="133">
        <f>SUBTOTAL(9,AJ223:AJ225)</f>
        <v>2240.8730797729449</v>
      </c>
      <c r="AK226" s="129"/>
      <c r="AL226" s="133">
        <f>SUM(AL215:AL225)</f>
        <v>5266.5063594833255</v>
      </c>
      <c r="AM226" s="133">
        <f>SUBTOTAL(9,AM223:AM225)</f>
        <v>3003.2245489126512</v>
      </c>
      <c r="AN226" s="133">
        <f>SUBTOTAL(9,AN223:AN225)</f>
        <v>2263.2818105706742</v>
      </c>
      <c r="AO226" s="165"/>
    </row>
    <row r="227" spans="1:41" s="1" customFormat="1" x14ac:dyDescent="0.25">
      <c r="A227" s="131"/>
      <c r="B227" s="129"/>
      <c r="C227" s="129"/>
      <c r="D227" s="129"/>
      <c r="E227" s="129"/>
      <c r="F227" s="6"/>
      <c r="G227" s="132"/>
      <c r="H227" s="132"/>
      <c r="I227" s="132"/>
      <c r="J227" s="129" t="str">
        <f>IF(J226="*","*","")</f>
        <v>*</v>
      </c>
      <c r="K227" s="129"/>
      <c r="L227" s="132">
        <f t="shared" si="844"/>
        <v>0</v>
      </c>
      <c r="M227" s="132">
        <f t="shared" ref="M227:M238" si="856">IF(E227&gt;299,G227,0)</f>
        <v>0</v>
      </c>
      <c r="N227" s="130"/>
      <c r="O227" s="136"/>
      <c r="P227" s="136">
        <f>IF(B227=432,G227,0)</f>
        <v>0</v>
      </c>
      <c r="Q227" s="136">
        <f t="shared" ref="Q227:Q238" si="857">IF(B227=410,H227,0)</f>
        <v>0</v>
      </c>
      <c r="R227" s="136">
        <f t="shared" ref="R227:R238" si="858">IF(B227=432,H227,0)</f>
        <v>0</v>
      </c>
      <c r="S227" s="136">
        <f t="shared" ref="S227:S238" si="859">IF(B227=432,I227,0)</f>
        <v>0</v>
      </c>
      <c r="T227" s="136">
        <f t="shared" si="835"/>
        <v>0</v>
      </c>
      <c r="U227" s="136">
        <f t="shared" si="835"/>
        <v>0</v>
      </c>
      <c r="V227" s="136">
        <f t="shared" ref="V227:V238" si="860">IF(B227=360,I227,0)</f>
        <v>0</v>
      </c>
      <c r="W227" s="136">
        <f t="shared" ref="W227:W238" si="861">IF(B227=410,I227,0)</f>
        <v>0</v>
      </c>
      <c r="X227" s="130">
        <f t="shared" si="854"/>
        <v>0</v>
      </c>
      <c r="Y227" s="129"/>
      <c r="Z227" s="132"/>
      <c r="AA227" s="132"/>
      <c r="AB227" s="132"/>
      <c r="AC227" s="129"/>
      <c r="AD227" s="132"/>
      <c r="AE227" s="132"/>
      <c r="AF227" s="132"/>
      <c r="AG227" s="129"/>
      <c r="AH227" s="132"/>
      <c r="AI227" s="132"/>
      <c r="AJ227" s="132"/>
      <c r="AK227" s="129"/>
      <c r="AL227" s="132"/>
      <c r="AM227" s="132"/>
      <c r="AN227" s="132"/>
      <c r="AO227" s="165"/>
    </row>
    <row r="228" spans="1:41" ht="13.2" hidden="1" customHeight="1" x14ac:dyDescent="0.25">
      <c r="A228" s="134">
        <v>100</v>
      </c>
      <c r="B228" s="134">
        <v>100</v>
      </c>
      <c r="C228" s="63">
        <v>4000</v>
      </c>
      <c r="D228" s="63">
        <v>6300</v>
      </c>
      <c r="E228" s="63">
        <v>130</v>
      </c>
      <c r="F228" s="63" t="s">
        <v>68</v>
      </c>
      <c r="J228" s="129" t="str">
        <f t="shared" ref="J228:J233" si="862">IF(G228&gt;0.49,"*","")</f>
        <v/>
      </c>
      <c r="L228" s="132">
        <f t="shared" si="844"/>
        <v>0</v>
      </c>
      <c r="M228" s="132">
        <f t="shared" si="856"/>
        <v>0</v>
      </c>
      <c r="N228" s="130"/>
      <c r="O228" s="136"/>
      <c r="P228" s="136">
        <f t="shared" ref="P228:P237" si="863">IF(B228=490,G228,0)</f>
        <v>0</v>
      </c>
      <c r="Q228" s="136">
        <f t="shared" si="857"/>
        <v>0</v>
      </c>
      <c r="R228" s="136">
        <f t="shared" si="858"/>
        <v>0</v>
      </c>
      <c r="S228" s="136">
        <f t="shared" si="859"/>
        <v>0</v>
      </c>
      <c r="T228" s="136">
        <f t="shared" si="835"/>
        <v>0</v>
      </c>
      <c r="U228" s="136">
        <f t="shared" si="835"/>
        <v>0</v>
      </c>
      <c r="V228" s="136">
        <f t="shared" si="860"/>
        <v>0</v>
      </c>
      <c r="W228" s="136">
        <f t="shared" si="861"/>
        <v>0</v>
      </c>
      <c r="X228" s="130">
        <f t="shared" si="854"/>
        <v>0</v>
      </c>
      <c r="Z228" s="88">
        <v>0</v>
      </c>
      <c r="AA228" s="88">
        <v>0</v>
      </c>
      <c r="AB228" s="88">
        <v>0</v>
      </c>
      <c r="AD228" s="88">
        <v>0</v>
      </c>
      <c r="AE228" s="88">
        <v>0</v>
      </c>
      <c r="AF228" s="88">
        <v>0</v>
      </c>
      <c r="AH228" s="88">
        <v>0</v>
      </c>
      <c r="AI228" s="88">
        <v>0</v>
      </c>
      <c r="AJ228" s="88">
        <v>0</v>
      </c>
      <c r="AL228" s="88">
        <v>0</v>
      </c>
      <c r="AM228" s="88">
        <v>0</v>
      </c>
      <c r="AN228" s="88">
        <v>0</v>
      </c>
      <c r="AO228" s="165" t="s">
        <v>35</v>
      </c>
    </row>
    <row r="229" spans="1:41" s="1" customFormat="1" ht="13.2" hidden="1" customHeight="1" x14ac:dyDescent="0.25">
      <c r="A229" s="134">
        <v>100</v>
      </c>
      <c r="B229" s="134">
        <v>100</v>
      </c>
      <c r="C229" s="134">
        <v>4000</v>
      </c>
      <c r="D229" s="134">
        <v>6300</v>
      </c>
      <c r="E229" s="134">
        <v>210</v>
      </c>
      <c r="F229" s="134" t="s">
        <v>45</v>
      </c>
      <c r="G229" s="132"/>
      <c r="H229" s="88"/>
      <c r="I229" s="88"/>
      <c r="J229" s="129" t="str">
        <f t="shared" si="862"/>
        <v/>
      </c>
      <c r="K229" s="129"/>
      <c r="L229" s="132">
        <f t="shared" si="844"/>
        <v>0</v>
      </c>
      <c r="M229" s="132">
        <f t="shared" si="856"/>
        <v>0</v>
      </c>
      <c r="N229" s="130"/>
      <c r="O229" s="136"/>
      <c r="P229" s="136">
        <f t="shared" si="863"/>
        <v>0</v>
      </c>
      <c r="Q229" s="136">
        <f t="shared" si="857"/>
        <v>0</v>
      </c>
      <c r="R229" s="136">
        <f t="shared" si="858"/>
        <v>0</v>
      </c>
      <c r="S229" s="136">
        <f t="shared" si="859"/>
        <v>0</v>
      </c>
      <c r="T229" s="136">
        <f t="shared" si="835"/>
        <v>0</v>
      </c>
      <c r="U229" s="136">
        <f t="shared" si="835"/>
        <v>0</v>
      </c>
      <c r="V229" s="136">
        <f t="shared" si="860"/>
        <v>0</v>
      </c>
      <c r="W229" s="136">
        <f t="shared" si="861"/>
        <v>0</v>
      </c>
      <c r="X229" s="130">
        <f t="shared" si="854"/>
        <v>0</v>
      </c>
      <c r="Y229" s="129"/>
      <c r="Z229" s="132" t="e">
        <f>+'Payroll Input'!#REF!</f>
        <v>#REF!</v>
      </c>
      <c r="AA229" s="88">
        <v>0</v>
      </c>
      <c r="AB229" s="88">
        <v>0</v>
      </c>
      <c r="AC229" s="129"/>
      <c r="AD229" s="132" t="e">
        <f>+'Payroll Input'!#REF!</f>
        <v>#REF!</v>
      </c>
      <c r="AE229" s="88">
        <v>0</v>
      </c>
      <c r="AF229" s="88">
        <v>0</v>
      </c>
      <c r="AG229" s="129"/>
      <c r="AH229" s="132" t="e">
        <f>+'Payroll Input'!#REF!</f>
        <v>#REF!</v>
      </c>
      <c r="AI229" s="88">
        <v>0</v>
      </c>
      <c r="AJ229" s="88">
        <v>0</v>
      </c>
      <c r="AK229" s="129"/>
      <c r="AL229" s="132" t="e">
        <f>+'Payroll Input'!#REF!</f>
        <v>#REF!</v>
      </c>
      <c r="AM229" s="88">
        <v>0</v>
      </c>
      <c r="AN229" s="88">
        <v>0</v>
      </c>
      <c r="AO229" s="165" t="s">
        <v>56</v>
      </c>
    </row>
    <row r="230" spans="1:41" ht="13.2" hidden="1" customHeight="1" x14ac:dyDescent="0.25">
      <c r="A230" s="134">
        <v>100</v>
      </c>
      <c r="B230" s="134">
        <v>100</v>
      </c>
      <c r="C230" s="63">
        <v>4000</v>
      </c>
      <c r="D230" s="63">
        <v>6300</v>
      </c>
      <c r="E230" s="63">
        <v>220</v>
      </c>
      <c r="F230" s="63" t="s">
        <v>47</v>
      </c>
      <c r="J230" s="129" t="str">
        <f t="shared" si="862"/>
        <v/>
      </c>
      <c r="L230" s="132">
        <f t="shared" si="844"/>
        <v>0</v>
      </c>
      <c r="M230" s="132">
        <f t="shared" si="856"/>
        <v>0</v>
      </c>
      <c r="N230" s="130"/>
      <c r="O230" s="136"/>
      <c r="P230" s="136">
        <f t="shared" si="863"/>
        <v>0</v>
      </c>
      <c r="Q230" s="136">
        <f t="shared" si="857"/>
        <v>0</v>
      </c>
      <c r="R230" s="136">
        <f t="shared" si="858"/>
        <v>0</v>
      </c>
      <c r="S230" s="136">
        <f t="shared" si="859"/>
        <v>0</v>
      </c>
      <c r="T230" s="136">
        <f t="shared" si="835"/>
        <v>0</v>
      </c>
      <c r="U230" s="136">
        <f t="shared" si="835"/>
        <v>0</v>
      </c>
      <c r="V230" s="136">
        <f t="shared" si="860"/>
        <v>0</v>
      </c>
      <c r="W230" s="136">
        <f t="shared" si="861"/>
        <v>0</v>
      </c>
      <c r="X230" s="130">
        <f t="shared" si="854"/>
        <v>0</v>
      </c>
      <c r="Z230" s="88" t="e">
        <f>+'Payroll Input'!#REF!</f>
        <v>#REF!</v>
      </c>
      <c r="AA230" s="88" t="e">
        <f>+'Payroll Input'!#REF!*'Revenue Input'!$P$74</f>
        <v>#REF!</v>
      </c>
      <c r="AB230" s="88" t="e">
        <f>+'Payroll Input'!#REF!*'Revenue Input'!$P$78</f>
        <v>#REF!</v>
      </c>
      <c r="AD230" s="88" t="e">
        <f>+'Payroll Input'!#REF!</f>
        <v>#REF!</v>
      </c>
      <c r="AE230" s="88" t="e">
        <f>+'Payroll Input'!#REF!*'Revenue Input'!$P$74</f>
        <v>#REF!</v>
      </c>
      <c r="AF230" s="88" t="e">
        <f>+'Payroll Input'!#REF!*'Revenue Input'!$P$78</f>
        <v>#REF!</v>
      </c>
      <c r="AH230" s="88" t="e">
        <f>+'Payroll Input'!#REF!</f>
        <v>#REF!</v>
      </c>
      <c r="AI230" s="88" t="e">
        <f>+'Payroll Input'!#REF!*'Revenue Input'!$P$74</f>
        <v>#REF!</v>
      </c>
      <c r="AJ230" s="88" t="e">
        <f>+'Payroll Input'!#REF!*'Revenue Input'!$P$78</f>
        <v>#REF!</v>
      </c>
      <c r="AL230" s="88" t="e">
        <f>+'Payroll Input'!#REF!</f>
        <v>#REF!</v>
      </c>
      <c r="AM230" s="88" t="e">
        <f>+'Payroll Input'!#REF!*'Revenue Input'!$P$74</f>
        <v>#REF!</v>
      </c>
      <c r="AN230" s="88" t="e">
        <f>+'Payroll Input'!#REF!*'Revenue Input'!$P$78</f>
        <v>#REF!</v>
      </c>
      <c r="AO230" s="165" t="s">
        <v>57</v>
      </c>
    </row>
    <row r="231" spans="1:41" ht="13.2" hidden="1" customHeight="1" x14ac:dyDescent="0.25">
      <c r="A231" s="134">
        <v>100</v>
      </c>
      <c r="B231" s="134">
        <v>100</v>
      </c>
      <c r="C231" s="63">
        <v>4000</v>
      </c>
      <c r="D231" s="63">
        <v>6300</v>
      </c>
      <c r="E231" s="63">
        <v>230</v>
      </c>
      <c r="F231" s="63" t="s">
        <v>49</v>
      </c>
      <c r="J231" s="129" t="str">
        <f t="shared" si="862"/>
        <v/>
      </c>
      <c r="L231" s="132">
        <f t="shared" si="844"/>
        <v>0</v>
      </c>
      <c r="M231" s="132">
        <f t="shared" si="856"/>
        <v>0</v>
      </c>
      <c r="N231" s="130"/>
      <c r="O231" s="136"/>
      <c r="P231" s="136">
        <f t="shared" si="863"/>
        <v>0</v>
      </c>
      <c r="Q231" s="136">
        <f t="shared" si="857"/>
        <v>0</v>
      </c>
      <c r="R231" s="136">
        <f t="shared" si="858"/>
        <v>0</v>
      </c>
      <c r="S231" s="136">
        <f t="shared" si="859"/>
        <v>0</v>
      </c>
      <c r="T231" s="136">
        <f t="shared" si="835"/>
        <v>0</v>
      </c>
      <c r="U231" s="136">
        <f t="shared" si="835"/>
        <v>0</v>
      </c>
      <c r="V231" s="136">
        <f t="shared" si="860"/>
        <v>0</v>
      </c>
      <c r="W231" s="136">
        <f t="shared" si="861"/>
        <v>0</v>
      </c>
      <c r="X231" s="130">
        <f t="shared" si="854"/>
        <v>0</v>
      </c>
      <c r="Z231" s="88" t="e">
        <f>+'Payroll Input'!#REF!</f>
        <v>#REF!</v>
      </c>
      <c r="AA231" s="88" t="e">
        <f>+'Payroll Input'!#REF!*'Revenue Input'!$P$74</f>
        <v>#REF!</v>
      </c>
      <c r="AB231" s="88" t="e">
        <f>+'Payroll Input'!#REF!*'Revenue Input'!$P$78</f>
        <v>#REF!</v>
      </c>
      <c r="AD231" s="88" t="e">
        <f>+'Payroll Input'!#REF!</f>
        <v>#REF!</v>
      </c>
      <c r="AE231" s="88" t="e">
        <f>+'Payroll Input'!#REF!*'Revenue Input'!$P$74</f>
        <v>#REF!</v>
      </c>
      <c r="AF231" s="88" t="e">
        <f>+'Payroll Input'!#REF!*'Revenue Input'!$P$78</f>
        <v>#REF!</v>
      </c>
      <c r="AH231" s="88" t="e">
        <f>+'Payroll Input'!#REF!</f>
        <v>#REF!</v>
      </c>
      <c r="AI231" s="88" t="e">
        <f>+'Payroll Input'!#REF!*'Revenue Input'!$P$74</f>
        <v>#REF!</v>
      </c>
      <c r="AJ231" s="88" t="e">
        <f>+'Payroll Input'!#REF!*'Revenue Input'!$P$78</f>
        <v>#REF!</v>
      </c>
      <c r="AL231" s="88" t="e">
        <f>+'Payroll Input'!#REF!</f>
        <v>#REF!</v>
      </c>
      <c r="AM231" s="88" t="e">
        <f>+'Payroll Input'!#REF!*'Revenue Input'!$P$74</f>
        <v>#REF!</v>
      </c>
      <c r="AN231" s="88" t="e">
        <f>+'Payroll Input'!#REF!*'Revenue Input'!$P$78</f>
        <v>#REF!</v>
      </c>
      <c r="AO231" s="165" t="s">
        <v>50</v>
      </c>
    </row>
    <row r="232" spans="1:41" ht="12" hidden="1" customHeight="1" x14ac:dyDescent="0.25">
      <c r="A232" s="134">
        <v>100</v>
      </c>
      <c r="B232" s="134">
        <v>100</v>
      </c>
      <c r="C232" s="63">
        <v>4000</v>
      </c>
      <c r="D232" s="63">
        <v>6300</v>
      </c>
      <c r="E232" s="63">
        <v>240</v>
      </c>
      <c r="F232" s="63" t="s">
        <v>51</v>
      </c>
      <c r="J232" s="129" t="str">
        <f t="shared" si="862"/>
        <v/>
      </c>
      <c r="L232" s="132">
        <f t="shared" si="844"/>
        <v>0</v>
      </c>
      <c r="M232" s="132">
        <f t="shared" si="856"/>
        <v>0</v>
      </c>
      <c r="N232" s="130"/>
      <c r="O232" s="136"/>
      <c r="P232" s="136">
        <f t="shared" si="863"/>
        <v>0</v>
      </c>
      <c r="Q232" s="136">
        <f t="shared" si="857"/>
        <v>0</v>
      </c>
      <c r="R232" s="136">
        <f t="shared" si="858"/>
        <v>0</v>
      </c>
      <c r="S232" s="136">
        <f t="shared" si="859"/>
        <v>0</v>
      </c>
      <c r="T232" s="136">
        <f t="shared" si="835"/>
        <v>0</v>
      </c>
      <c r="U232" s="136">
        <f t="shared" si="835"/>
        <v>0</v>
      </c>
      <c r="V232" s="136">
        <f t="shared" si="860"/>
        <v>0</v>
      </c>
      <c r="W232" s="136">
        <f t="shared" si="861"/>
        <v>0</v>
      </c>
      <c r="X232" s="130">
        <f t="shared" si="854"/>
        <v>0</v>
      </c>
      <c r="Z232" s="88" t="e">
        <f>+'Payroll Input'!#REF!</f>
        <v>#REF!</v>
      </c>
      <c r="AA232" s="88" t="e">
        <f>+'Payroll Input'!#REF!*'Revenue Input'!$P$74</f>
        <v>#REF!</v>
      </c>
      <c r="AB232" s="88" t="e">
        <f>+'Payroll Input'!#REF!*'Revenue Input'!$P$78</f>
        <v>#REF!</v>
      </c>
      <c r="AD232" s="88" t="e">
        <f>+'Payroll Input'!#REF!</f>
        <v>#REF!</v>
      </c>
      <c r="AE232" s="88" t="e">
        <f>+'Payroll Input'!#REF!*'Revenue Input'!$P$74</f>
        <v>#REF!</v>
      </c>
      <c r="AF232" s="88" t="e">
        <f>+'Payroll Input'!#REF!*'Revenue Input'!$P$78</f>
        <v>#REF!</v>
      </c>
      <c r="AH232" s="88" t="e">
        <f>+'Payroll Input'!#REF!</f>
        <v>#REF!</v>
      </c>
      <c r="AI232" s="88" t="e">
        <f>+'Payroll Input'!#REF!*'Revenue Input'!$P$74</f>
        <v>#REF!</v>
      </c>
      <c r="AJ232" s="88" t="e">
        <f>+'Payroll Input'!#REF!*'Revenue Input'!$P$78</f>
        <v>#REF!</v>
      </c>
      <c r="AL232" s="88" t="e">
        <f>+'Payroll Input'!#REF!</f>
        <v>#REF!</v>
      </c>
      <c r="AM232" s="88" t="e">
        <f>+'Payroll Input'!#REF!*'Revenue Input'!$P$74</f>
        <v>#REF!</v>
      </c>
      <c r="AN232" s="88" t="e">
        <f>+'Payroll Input'!#REF!*'Revenue Input'!$P$78</f>
        <v>#REF!</v>
      </c>
      <c r="AO232" s="165" t="s">
        <v>50</v>
      </c>
    </row>
    <row r="233" spans="1:41" ht="13.2" hidden="1" customHeight="1" x14ac:dyDescent="0.25">
      <c r="A233" s="134">
        <v>100</v>
      </c>
      <c r="B233" s="134">
        <v>100</v>
      </c>
      <c r="C233" s="63">
        <v>4000</v>
      </c>
      <c r="D233" s="63">
        <v>6300</v>
      </c>
      <c r="E233" s="63">
        <v>250</v>
      </c>
      <c r="F233" s="63" t="s">
        <v>52</v>
      </c>
      <c r="J233" s="129" t="str">
        <f t="shared" si="862"/>
        <v/>
      </c>
      <c r="L233" s="132">
        <f t="shared" si="844"/>
        <v>0</v>
      </c>
      <c r="M233" s="132">
        <f t="shared" si="856"/>
        <v>0</v>
      </c>
      <c r="N233" s="130"/>
      <c r="O233" s="136"/>
      <c r="P233" s="136">
        <f t="shared" si="863"/>
        <v>0</v>
      </c>
      <c r="Q233" s="136">
        <f t="shared" si="857"/>
        <v>0</v>
      </c>
      <c r="R233" s="136">
        <f t="shared" si="858"/>
        <v>0</v>
      </c>
      <c r="S233" s="136">
        <f t="shared" si="859"/>
        <v>0</v>
      </c>
      <c r="T233" s="136">
        <f t="shared" si="835"/>
        <v>0</v>
      </c>
      <c r="U233" s="136">
        <f t="shared" si="835"/>
        <v>0</v>
      </c>
      <c r="V233" s="136">
        <f t="shared" si="860"/>
        <v>0</v>
      </c>
      <c r="W233" s="136">
        <f t="shared" si="861"/>
        <v>0</v>
      </c>
      <c r="X233" s="130">
        <f t="shared" si="854"/>
        <v>0</v>
      </c>
      <c r="Z233" s="88" t="e">
        <f>+'Payroll Input'!#REF!</f>
        <v>#REF!</v>
      </c>
      <c r="AA233" s="88" t="e">
        <f>+'Payroll Input'!#REF!*'Revenue Input'!$P$74</f>
        <v>#REF!</v>
      </c>
      <c r="AB233" s="88" t="e">
        <f>+'Payroll Input'!#REF!*'Revenue Input'!$P$78</f>
        <v>#REF!</v>
      </c>
      <c r="AD233" s="88" t="e">
        <f>+'Payroll Input'!#REF!</f>
        <v>#REF!</v>
      </c>
      <c r="AE233" s="88" t="e">
        <f>+'Payroll Input'!#REF!*'Revenue Input'!$P$74</f>
        <v>#REF!</v>
      </c>
      <c r="AF233" s="88" t="e">
        <f>+'Payroll Input'!#REF!*'Revenue Input'!$P$78</f>
        <v>#REF!</v>
      </c>
      <c r="AH233" s="88" t="e">
        <f>+'Payroll Input'!#REF!</f>
        <v>#REF!</v>
      </c>
      <c r="AI233" s="88" t="e">
        <f>+'Payroll Input'!#REF!*'Revenue Input'!$P$74</f>
        <v>#REF!</v>
      </c>
      <c r="AJ233" s="88" t="e">
        <f>+'Payroll Input'!#REF!*'Revenue Input'!$P$78</f>
        <v>#REF!</v>
      </c>
      <c r="AL233" s="88" t="e">
        <f>+'Payroll Input'!#REF!</f>
        <v>#REF!</v>
      </c>
      <c r="AM233" s="88" t="e">
        <f>+'Payroll Input'!#REF!*'Revenue Input'!$P$74</f>
        <v>#REF!</v>
      </c>
      <c r="AN233" s="88" t="e">
        <f>+'Payroll Input'!#REF!*'Revenue Input'!$P$78</f>
        <v>#REF!</v>
      </c>
      <c r="AO233" s="165" t="s">
        <v>50</v>
      </c>
    </row>
    <row r="234" spans="1:41" ht="13.2" hidden="1" customHeight="1" x14ac:dyDescent="0.25">
      <c r="A234" s="131"/>
      <c r="B234" s="63"/>
      <c r="C234" s="63"/>
      <c r="D234" s="63"/>
      <c r="E234" s="63"/>
      <c r="F234" s="63"/>
      <c r="G234" s="64"/>
      <c r="H234" s="64"/>
      <c r="I234" s="64"/>
      <c r="J234" s="129" t="str">
        <f>IF(G234&gt;0.49,"*","")</f>
        <v/>
      </c>
      <c r="L234" s="132">
        <f t="shared" ref="L234:L235" si="864">IF(E234&lt;300,G234,0)</f>
        <v>0</v>
      </c>
      <c r="M234" s="132">
        <f t="shared" ref="M234:M235" si="865">IF(E234&gt;299,G234,0)</f>
        <v>0</v>
      </c>
      <c r="N234" s="130"/>
      <c r="O234" s="136"/>
      <c r="P234" s="136">
        <f t="shared" si="863"/>
        <v>0</v>
      </c>
      <c r="Q234" s="136">
        <f t="shared" si="857"/>
        <v>0</v>
      </c>
      <c r="R234" s="136">
        <f t="shared" si="858"/>
        <v>0</v>
      </c>
      <c r="S234" s="136">
        <f t="shared" si="859"/>
        <v>0</v>
      </c>
      <c r="T234" s="136">
        <f t="shared" si="835"/>
        <v>0</v>
      </c>
      <c r="U234" s="136">
        <f t="shared" si="835"/>
        <v>0</v>
      </c>
      <c r="V234" s="136">
        <f t="shared" si="860"/>
        <v>0</v>
      </c>
      <c r="W234" s="136">
        <f t="shared" si="861"/>
        <v>0</v>
      </c>
      <c r="X234" s="130">
        <f t="shared" ref="X234:X235" si="866">+W234+Q234-O234</f>
        <v>0</v>
      </c>
      <c r="Z234" s="64"/>
      <c r="AA234" s="64"/>
      <c r="AB234" s="64"/>
      <c r="AD234" s="64"/>
      <c r="AE234" s="64"/>
      <c r="AF234" s="64"/>
      <c r="AH234" s="64"/>
      <c r="AI234" s="64"/>
      <c r="AJ234" s="64"/>
      <c r="AL234" s="64"/>
      <c r="AM234" s="64"/>
      <c r="AN234" s="64"/>
      <c r="AO234" s="165"/>
    </row>
    <row r="235" spans="1:41" x14ac:dyDescent="0.25">
      <c r="A235" s="131"/>
      <c r="B235" s="63">
        <f>+'Expense Input'!B56</f>
        <v>100</v>
      </c>
      <c r="C235" s="63">
        <f>+'Expense Input'!C56</f>
        <v>4000</v>
      </c>
      <c r="D235" s="63">
        <f>+'Expense Input'!D56</f>
        <v>6300</v>
      </c>
      <c r="E235" s="63">
        <f>+'Expense Input'!E56</f>
        <v>590</v>
      </c>
      <c r="F235" s="63" t="str">
        <f>+'Expense Input'!F56</f>
        <v>Testing and Assessment</v>
      </c>
      <c r="G235" s="64">
        <f>+'Expense Input'!Q56</f>
        <v>235.49362886818716</v>
      </c>
      <c r="H235" s="64">
        <f>+'Expense Input'!R56</f>
        <v>235.49362886818716</v>
      </c>
      <c r="I235" s="64">
        <f>+'Expense Input'!S56</f>
        <v>0</v>
      </c>
      <c r="J235" s="129" t="str">
        <f>IF(G235&gt;0.49,"*","")</f>
        <v>*</v>
      </c>
      <c r="L235" s="132">
        <f t="shared" si="864"/>
        <v>0</v>
      </c>
      <c r="M235" s="132">
        <f t="shared" si="865"/>
        <v>235.49362886818716</v>
      </c>
      <c r="N235" s="130"/>
      <c r="O235" s="136"/>
      <c r="P235" s="136">
        <f t="shared" si="863"/>
        <v>0</v>
      </c>
      <c r="Q235" s="136">
        <f t="shared" si="857"/>
        <v>0</v>
      </c>
      <c r="R235" s="136">
        <f t="shared" si="858"/>
        <v>0</v>
      </c>
      <c r="S235" s="136">
        <f t="shared" si="859"/>
        <v>0</v>
      </c>
      <c r="T235" s="136">
        <f t="shared" si="835"/>
        <v>0</v>
      </c>
      <c r="U235" s="136">
        <f t="shared" si="835"/>
        <v>0</v>
      </c>
      <c r="V235" s="136">
        <f t="shared" si="860"/>
        <v>0</v>
      </c>
      <c r="W235" s="136">
        <f t="shared" si="861"/>
        <v>0</v>
      </c>
      <c r="X235" s="130">
        <f t="shared" si="866"/>
        <v>0</v>
      </c>
      <c r="Z235" s="103">
        <f t="shared" ref="Z235" si="867">AA235+AB235</f>
        <v>257.66927891994146</v>
      </c>
      <c r="AA235" s="103">
        <f>+H235/H$11*AA$11*Inf</f>
        <v>257.66927891994146</v>
      </c>
      <c r="AB235" s="103">
        <f>+I235/I$11*AB$11*Inf</f>
        <v>0</v>
      </c>
      <c r="AD235" s="103">
        <f t="shared" ref="AD235" si="868">AE235+AF235</f>
        <v>260.24597170914086</v>
      </c>
      <c r="AE235" s="103">
        <f>+AA235/AA$11*AE$11*Inf</f>
        <v>260.24597170914086</v>
      </c>
      <c r="AF235" s="103">
        <f>+AB235/AB$11*AF$11*Inf</f>
        <v>0</v>
      </c>
      <c r="AH235" s="103">
        <f t="shared" ref="AH235" si="869">AI235+AJ235</f>
        <v>283.0675415359425</v>
      </c>
      <c r="AI235" s="103">
        <f>+AE235/AE$11*AI$11*Inf</f>
        <v>283.0675415359425</v>
      </c>
      <c r="AJ235" s="103">
        <f>+AF235/AF$11*AJ$11*Inf</f>
        <v>0</v>
      </c>
      <c r="AL235" s="103">
        <f t="shared" ref="AL235" si="870">AM235+AN235</f>
        <v>285.89821695130195</v>
      </c>
      <c r="AM235" s="103">
        <f>+AI235/AI$11*AM$11*Inf</f>
        <v>285.89821695130195</v>
      </c>
      <c r="AN235" s="103">
        <f>+AJ235/AJ$11*AN$11*Inf</f>
        <v>0</v>
      </c>
      <c r="AO235" s="165" t="s">
        <v>42</v>
      </c>
    </row>
    <row r="236" spans="1:41" hidden="1" x14ac:dyDescent="0.25">
      <c r="A236" s="131"/>
      <c r="B236" s="63"/>
      <c r="C236" s="63"/>
      <c r="D236" s="63"/>
      <c r="E236" s="63"/>
      <c r="F236" s="63"/>
      <c r="G236" s="64"/>
      <c r="H236" s="64"/>
      <c r="I236" s="64"/>
      <c r="J236" s="129" t="str">
        <f>IF(G236&gt;0.49,"*","")</f>
        <v/>
      </c>
      <c r="L236" s="132">
        <f t="shared" si="844"/>
        <v>0</v>
      </c>
      <c r="M236" s="132">
        <f t="shared" si="856"/>
        <v>0</v>
      </c>
      <c r="N236" s="130"/>
      <c r="O236" s="136"/>
      <c r="P236" s="136">
        <f t="shared" si="863"/>
        <v>0</v>
      </c>
      <c r="Q236" s="136">
        <f t="shared" si="857"/>
        <v>0</v>
      </c>
      <c r="R236" s="136">
        <f t="shared" si="858"/>
        <v>0</v>
      </c>
      <c r="S236" s="136">
        <f t="shared" si="859"/>
        <v>0</v>
      </c>
      <c r="T236" s="136">
        <f t="shared" si="835"/>
        <v>0</v>
      </c>
      <c r="U236" s="136">
        <f t="shared" si="835"/>
        <v>0</v>
      </c>
      <c r="V236" s="136">
        <f t="shared" si="860"/>
        <v>0</v>
      </c>
      <c r="W236" s="136">
        <f t="shared" si="861"/>
        <v>0</v>
      </c>
      <c r="X236" s="130">
        <f t="shared" si="854"/>
        <v>0</v>
      </c>
      <c r="Z236" s="64"/>
      <c r="AA236" s="64"/>
      <c r="AB236" s="64"/>
      <c r="AD236" s="64"/>
      <c r="AE236" s="64"/>
      <c r="AF236" s="64"/>
      <c r="AH236" s="64"/>
      <c r="AI236" s="64"/>
      <c r="AJ236" s="64"/>
      <c r="AL236" s="64"/>
      <c r="AM236" s="64"/>
      <c r="AN236" s="64"/>
      <c r="AO236" s="165"/>
    </row>
    <row r="237" spans="1:41" ht="13.2" hidden="1" customHeight="1" x14ac:dyDescent="0.25">
      <c r="A237" s="131"/>
      <c r="B237" s="63"/>
      <c r="C237" s="63"/>
      <c r="D237" s="63"/>
      <c r="E237" s="63"/>
      <c r="F237" s="63"/>
      <c r="G237" s="64"/>
      <c r="H237" s="64"/>
      <c r="I237" s="64"/>
      <c r="J237" s="129" t="str">
        <f>IF(G237&gt;0.49,"*","")</f>
        <v/>
      </c>
      <c r="L237" s="132">
        <f t="shared" ref="L237" si="871">IF(E237&lt;300,G237,0)</f>
        <v>0</v>
      </c>
      <c r="M237" s="132">
        <f t="shared" ref="M237" si="872">IF(E237&gt;299,G237,0)</f>
        <v>0</v>
      </c>
      <c r="N237" s="130"/>
      <c r="O237" s="136"/>
      <c r="P237" s="136">
        <f t="shared" si="863"/>
        <v>0</v>
      </c>
      <c r="Q237" s="136">
        <f t="shared" si="857"/>
        <v>0</v>
      </c>
      <c r="R237" s="136">
        <f t="shared" si="858"/>
        <v>0</v>
      </c>
      <c r="S237" s="136">
        <f t="shared" si="859"/>
        <v>0</v>
      </c>
      <c r="T237" s="136">
        <f t="shared" si="835"/>
        <v>0</v>
      </c>
      <c r="U237" s="136">
        <f t="shared" si="835"/>
        <v>0</v>
      </c>
      <c r="V237" s="136">
        <f t="shared" si="860"/>
        <v>0</v>
      </c>
      <c r="W237" s="136">
        <f t="shared" si="861"/>
        <v>0</v>
      </c>
      <c r="X237" s="130">
        <f t="shared" ref="X237" si="873">+W237+Q237-O237</f>
        <v>0</v>
      </c>
      <c r="Z237" s="64"/>
      <c r="AA237" s="64"/>
      <c r="AB237" s="64"/>
      <c r="AD237" s="64"/>
      <c r="AE237" s="64"/>
      <c r="AF237" s="64"/>
      <c r="AH237" s="64"/>
      <c r="AI237" s="64"/>
      <c r="AJ237" s="64"/>
      <c r="AL237" s="64"/>
      <c r="AM237" s="64"/>
      <c r="AN237" s="64"/>
      <c r="AO237" s="165"/>
    </row>
    <row r="238" spans="1:41" x14ac:dyDescent="0.25">
      <c r="A238" s="131"/>
      <c r="B238" s="77"/>
      <c r="C238" s="77"/>
      <c r="D238" s="77"/>
      <c r="E238" s="77"/>
      <c r="F238" s="91"/>
      <c r="G238" s="65"/>
      <c r="H238" s="65"/>
      <c r="I238" s="65"/>
      <c r="J238" s="129" t="str">
        <f>IF(J239="*","*","")</f>
        <v>*</v>
      </c>
      <c r="L238" s="132">
        <f t="shared" si="844"/>
        <v>0</v>
      </c>
      <c r="M238" s="132">
        <f t="shared" si="856"/>
        <v>0</v>
      </c>
      <c r="N238" s="130"/>
      <c r="O238" s="136"/>
      <c r="P238" s="136">
        <f>IF(B238=432,G238,0)</f>
        <v>0</v>
      </c>
      <c r="Q238" s="136">
        <f t="shared" si="857"/>
        <v>0</v>
      </c>
      <c r="R238" s="136">
        <f t="shared" si="858"/>
        <v>0</v>
      </c>
      <c r="S238" s="136">
        <f t="shared" si="859"/>
        <v>0</v>
      </c>
      <c r="T238" s="136">
        <f t="shared" si="835"/>
        <v>0</v>
      </c>
      <c r="U238" s="136">
        <f t="shared" si="835"/>
        <v>0</v>
      </c>
      <c r="V238" s="136">
        <f t="shared" si="860"/>
        <v>0</v>
      </c>
      <c r="W238" s="136">
        <f t="shared" si="861"/>
        <v>0</v>
      </c>
      <c r="X238" s="130">
        <f t="shared" si="854"/>
        <v>0</v>
      </c>
      <c r="Z238" s="65"/>
      <c r="AA238" s="65"/>
      <c r="AB238" s="65"/>
      <c r="AD238" s="65"/>
      <c r="AE238" s="65"/>
      <c r="AF238" s="65"/>
      <c r="AH238" s="65"/>
      <c r="AI238" s="65"/>
      <c r="AJ238" s="65"/>
      <c r="AL238" s="65"/>
      <c r="AM238" s="65"/>
      <c r="AN238" s="65"/>
      <c r="AO238" s="165"/>
    </row>
    <row r="239" spans="1:41" x14ac:dyDescent="0.25">
      <c r="A239" s="131"/>
      <c r="F239" s="85" t="s">
        <v>69</v>
      </c>
      <c r="G239" s="86">
        <f>SUM(G228:G238)</f>
        <v>235.49362886818716</v>
      </c>
      <c r="H239" s="86">
        <f>SUM(H228:H238)</f>
        <v>235.49362886818716</v>
      </c>
      <c r="I239" s="86">
        <f>SUM(I228:I238)</f>
        <v>0</v>
      </c>
      <c r="J239" s="129" t="str">
        <f>IF(G239&gt;0.49,"*","")</f>
        <v>*</v>
      </c>
      <c r="L239" s="133">
        <f>SUM(L227:L238)</f>
        <v>0</v>
      </c>
      <c r="M239" s="133">
        <f>SUM(M227:M238)</f>
        <v>235.49362886818716</v>
      </c>
      <c r="N239" s="130"/>
      <c r="O239" s="133"/>
      <c r="P239" s="133">
        <f t="shared" ref="P239:X239" si="874">SUM(P228:P238)</f>
        <v>0</v>
      </c>
      <c r="Q239" s="133">
        <f t="shared" si="874"/>
        <v>0</v>
      </c>
      <c r="R239" s="133">
        <f t="shared" si="874"/>
        <v>0</v>
      </c>
      <c r="S239" s="133">
        <f t="shared" ref="S239:U239" si="875">SUM(S228:S238)</f>
        <v>0</v>
      </c>
      <c r="T239" s="133">
        <f t="shared" si="875"/>
        <v>0</v>
      </c>
      <c r="U239" s="133">
        <f t="shared" si="875"/>
        <v>0</v>
      </c>
      <c r="V239" s="133">
        <f t="shared" si="874"/>
        <v>0</v>
      </c>
      <c r="W239" s="133">
        <f t="shared" si="874"/>
        <v>0</v>
      </c>
      <c r="X239" s="133">
        <f t="shared" si="874"/>
        <v>0</v>
      </c>
      <c r="Z239" s="86" t="e">
        <f>SUM(Z228:Z238)</f>
        <v>#REF!</v>
      </c>
      <c r="AA239" s="86" t="e">
        <f>SUM(AA228:AA238)</f>
        <v>#REF!</v>
      </c>
      <c r="AB239" s="86" t="e">
        <f>SUM(AB228:AB238)</f>
        <v>#REF!</v>
      </c>
      <c r="AD239" s="86" t="e">
        <f>SUM(AD228:AD238)</f>
        <v>#REF!</v>
      </c>
      <c r="AE239" s="86" t="e">
        <f>SUM(AE228:AE238)</f>
        <v>#REF!</v>
      </c>
      <c r="AF239" s="86" t="e">
        <f>SUM(AF228:AF238)</f>
        <v>#REF!</v>
      </c>
      <c r="AH239" s="86" t="e">
        <f>SUM(AH228:AH238)</f>
        <v>#REF!</v>
      </c>
      <c r="AI239" s="86" t="e">
        <f>SUM(AI228:AI238)</f>
        <v>#REF!</v>
      </c>
      <c r="AJ239" s="86" t="e">
        <f>SUM(AJ228:AJ238)</f>
        <v>#REF!</v>
      </c>
      <c r="AL239" s="86" t="e">
        <f>SUM(AL228:AL238)</f>
        <v>#REF!</v>
      </c>
      <c r="AM239" s="86" t="e">
        <f>SUM(AM228:AM238)</f>
        <v>#REF!</v>
      </c>
      <c r="AN239" s="86" t="e">
        <f>SUM(AN228:AN238)</f>
        <v>#REF!</v>
      </c>
      <c r="AO239" s="165"/>
    </row>
    <row r="240" spans="1:41" x14ac:dyDescent="0.25">
      <c r="A240" s="131"/>
      <c r="F240" s="85"/>
      <c r="G240" s="92"/>
      <c r="H240" s="92"/>
      <c r="I240" s="92"/>
      <c r="J240" s="129" t="str">
        <f>IF(J239="*","*","")</f>
        <v>*</v>
      </c>
      <c r="L240" s="132">
        <f t="shared" si="844"/>
        <v>0</v>
      </c>
      <c r="M240" s="132">
        <f t="shared" ref="M240:M245" si="876">IF(E240&gt;299,G240,0)</f>
        <v>0</v>
      </c>
      <c r="N240" s="130"/>
      <c r="O240" s="136"/>
      <c r="P240" s="136">
        <f>IF(B240=432,G240,0)</f>
        <v>0</v>
      </c>
      <c r="Q240" s="136">
        <f t="shared" ref="Q240:Q245" si="877">IF(B240=410,H240,0)</f>
        <v>0</v>
      </c>
      <c r="R240" s="136">
        <f t="shared" ref="R240:R245" si="878">IF(B240=432,H240,0)</f>
        <v>0</v>
      </c>
      <c r="S240" s="136">
        <f t="shared" ref="S240:S245" si="879">IF(B240=432,I240,0)</f>
        <v>0</v>
      </c>
      <c r="T240" s="136">
        <f t="shared" si="835"/>
        <v>0</v>
      </c>
      <c r="U240" s="136">
        <f t="shared" si="835"/>
        <v>0</v>
      </c>
      <c r="V240" s="136">
        <f t="shared" ref="V240:V245" si="880">IF(B240=360,I240,0)</f>
        <v>0</v>
      </c>
      <c r="W240" s="136">
        <f t="shared" ref="W240:W245" si="881">IF(B240=410,I240,0)</f>
        <v>0</v>
      </c>
      <c r="X240" s="130">
        <f t="shared" si="854"/>
        <v>0</v>
      </c>
      <c r="Z240" s="92"/>
      <c r="AA240" s="92"/>
      <c r="AB240" s="92"/>
      <c r="AD240" s="92"/>
      <c r="AE240" s="92"/>
      <c r="AF240" s="92"/>
      <c r="AH240" s="92"/>
      <c r="AI240" s="92"/>
      <c r="AJ240" s="92"/>
      <c r="AL240" s="92"/>
      <c r="AM240" s="92"/>
      <c r="AN240" s="92"/>
      <c r="AO240" s="165"/>
    </row>
    <row r="241" spans="1:41" x14ac:dyDescent="0.25">
      <c r="A241" s="131"/>
      <c r="B241" s="63">
        <f>+'Expense Input'!B57</f>
        <v>100</v>
      </c>
      <c r="C241" s="63">
        <f>+'Expense Input'!C57</f>
        <v>4000</v>
      </c>
      <c r="D241" s="63">
        <f>+'Expense Input'!D57</f>
        <v>6400</v>
      </c>
      <c r="E241" s="63">
        <f>+'Expense Input'!E57</f>
        <v>310</v>
      </c>
      <c r="F241" s="63" t="str">
        <f>+'Expense Input'!F57</f>
        <v>Staff Development</v>
      </c>
      <c r="G241" s="64">
        <f>+'Expense Input'!Q57</f>
        <v>9353.41535556284</v>
      </c>
      <c r="H241" s="64">
        <f>+'Expense Input'!R57</f>
        <v>4470.139522432808</v>
      </c>
      <c r="I241" s="64">
        <f>+'Expense Input'!S57</f>
        <v>4883.275833130032</v>
      </c>
      <c r="J241" s="129" t="str">
        <f>IF(G241&gt;0.49,"*","")</f>
        <v>*</v>
      </c>
      <c r="L241" s="132">
        <f t="shared" ref="L241:L242" si="882">IF(E241&lt;300,G241,0)</f>
        <v>0</v>
      </c>
      <c r="M241" s="132">
        <f t="shared" si="876"/>
        <v>9353.41535556284</v>
      </c>
      <c r="N241" s="130"/>
      <c r="O241" s="136"/>
      <c r="P241" s="136">
        <f>IF(B241=490,G241,0)</f>
        <v>0</v>
      </c>
      <c r="Q241" s="136">
        <f t="shared" si="877"/>
        <v>0</v>
      </c>
      <c r="R241" s="136">
        <f t="shared" ref="R241:R242" si="883">IF(B241=432,H241,0)</f>
        <v>0</v>
      </c>
      <c r="S241" s="136">
        <f t="shared" si="879"/>
        <v>0</v>
      </c>
      <c r="T241" s="136">
        <f t="shared" si="835"/>
        <v>0</v>
      </c>
      <c r="U241" s="136">
        <f t="shared" si="835"/>
        <v>0</v>
      </c>
      <c r="V241" s="136">
        <f t="shared" ref="V241:V242" si="884">IF(B241=360,I241,0)</f>
        <v>0</v>
      </c>
      <c r="W241" s="136">
        <f t="shared" si="881"/>
        <v>0</v>
      </c>
      <c r="X241" s="130">
        <f t="shared" ref="X241:X242" si="885">+W241+Q241-O241</f>
        <v>0</v>
      </c>
      <c r="Z241" s="103">
        <f t="shared" ref="Z241:Z243" si="886">AA241+AB241</f>
        <v>11860.36154003407</v>
      </c>
      <c r="AA241" s="103">
        <f t="shared" ref="AA241:AB243" si="887">+H241/H$11*AA$11*Inf</f>
        <v>4891.0776607952303</v>
      </c>
      <c r="AB241" s="103">
        <f t="shared" si="887"/>
        <v>6969.2838792388393</v>
      </c>
      <c r="AD241" s="103">
        <f t="shared" ref="AD241:AD243" si="888">AE241+AF241</f>
        <v>11978.965155434409</v>
      </c>
      <c r="AE241" s="103">
        <f t="shared" ref="AE241:AF243" si="889">+AA241/AA$11*AE$11*Inf</f>
        <v>4939.9884374031826</v>
      </c>
      <c r="AF241" s="103">
        <f t="shared" si="889"/>
        <v>7038.9767180312274</v>
      </c>
      <c r="AH241" s="103">
        <f t="shared" ref="AH241:AH243" si="890">AI241+AJ241</f>
        <v>13029.428253680197</v>
      </c>
      <c r="AI241" s="103">
        <f t="shared" ref="AI241:AJ243" si="891">+AE241/AE$11*AI$11*Inf</f>
        <v>5373.1874234523848</v>
      </c>
      <c r="AJ241" s="103">
        <f t="shared" si="891"/>
        <v>7656.2408302278118</v>
      </c>
      <c r="AL241" s="103">
        <f t="shared" ref="AL241:AL243" si="892">AM241+AN241</f>
        <v>13159.722536216999</v>
      </c>
      <c r="AM241" s="103">
        <f t="shared" ref="AM241:AN243" si="893">+AI241/AI$11*AM$11*Inf</f>
        <v>5426.919297686909</v>
      </c>
      <c r="AN241" s="103">
        <f t="shared" si="893"/>
        <v>7732.8032385300903</v>
      </c>
      <c r="AO241" s="165" t="s">
        <v>42</v>
      </c>
    </row>
    <row r="242" spans="1:41" x14ac:dyDescent="0.25">
      <c r="A242" s="131"/>
      <c r="B242" s="63">
        <f>+'Expense Input'!B58</f>
        <v>432</v>
      </c>
      <c r="C242" s="63">
        <f>+'Expense Input'!C58</f>
        <v>4000</v>
      </c>
      <c r="D242" s="63">
        <f>+'Expense Input'!D58</f>
        <v>6401</v>
      </c>
      <c r="E242" s="63">
        <f>+'Expense Input'!E58</f>
        <v>310</v>
      </c>
      <c r="F242" s="63" t="str">
        <f>+'Expense Input'!F58</f>
        <v>Staff Development</v>
      </c>
      <c r="G242" s="64">
        <f>+'Expense Input'!Q58</f>
        <v>1200</v>
      </c>
      <c r="H242" s="64">
        <f>+'Expense Input'!R58</f>
        <v>600</v>
      </c>
      <c r="I242" s="64">
        <f>+'Expense Input'!S58</f>
        <v>600</v>
      </c>
      <c r="J242" s="129" t="str">
        <f>IF(G242&gt;0.49,"*","")</f>
        <v>*</v>
      </c>
      <c r="L242" s="132">
        <f t="shared" si="882"/>
        <v>0</v>
      </c>
      <c r="M242" s="132">
        <f t="shared" si="876"/>
        <v>1200</v>
      </c>
      <c r="N242" s="130"/>
      <c r="O242" s="136"/>
      <c r="P242" s="136">
        <f>IF(B242=490,G242,0)</f>
        <v>0</v>
      </c>
      <c r="Q242" s="136">
        <f t="shared" si="877"/>
        <v>0</v>
      </c>
      <c r="R242" s="136">
        <f t="shared" si="883"/>
        <v>600</v>
      </c>
      <c r="S242" s="136">
        <f t="shared" ref="S242" si="894">IF(B242=432,I242,0)</f>
        <v>600</v>
      </c>
      <c r="T242" s="136">
        <f t="shared" ref="T242" si="895">IF($B242=435,H242,0)</f>
        <v>0</v>
      </c>
      <c r="U242" s="136">
        <f t="shared" ref="U242" si="896">IF($B242=435,I242,0)</f>
        <v>0</v>
      </c>
      <c r="V242" s="136">
        <f t="shared" si="884"/>
        <v>0</v>
      </c>
      <c r="W242" s="136">
        <f t="shared" si="881"/>
        <v>0</v>
      </c>
      <c r="X242" s="130">
        <f t="shared" si="885"/>
        <v>0</v>
      </c>
      <c r="Z242" s="103">
        <f t="shared" ref="Z242" si="897">AA242+AB242</f>
        <v>1512.804347826087</v>
      </c>
      <c r="AA242" s="103">
        <f t="shared" si="887"/>
        <v>656.5</v>
      </c>
      <c r="AB242" s="103">
        <f t="shared" si="887"/>
        <v>856.304347826087</v>
      </c>
      <c r="AD242" s="103">
        <f t="shared" ref="AD242" si="898">AE242+AF242</f>
        <v>1527.9323913043481</v>
      </c>
      <c r="AE242" s="103">
        <f t="shared" si="889"/>
        <v>663.06500000000005</v>
      </c>
      <c r="AF242" s="103">
        <f t="shared" si="889"/>
        <v>864.86739130434796</v>
      </c>
      <c r="AH242" s="103">
        <f t="shared" ref="AH242" si="899">AI242+AJ242</f>
        <v>1661.9203086956522</v>
      </c>
      <c r="AI242" s="103">
        <f t="shared" si="891"/>
        <v>721.21070000000009</v>
      </c>
      <c r="AJ242" s="103">
        <f t="shared" si="891"/>
        <v>940.70960869565226</v>
      </c>
      <c r="AL242" s="103">
        <f t="shared" ref="AL242" si="900">AM242+AN242</f>
        <v>1678.539511782609</v>
      </c>
      <c r="AM242" s="103">
        <f t="shared" si="893"/>
        <v>728.42280700000015</v>
      </c>
      <c r="AN242" s="103">
        <f t="shared" si="893"/>
        <v>950.11670478260885</v>
      </c>
      <c r="AO242" s="165" t="s">
        <v>42</v>
      </c>
    </row>
    <row r="243" spans="1:41" hidden="1" x14ac:dyDescent="0.25">
      <c r="A243" s="131"/>
      <c r="B243" s="63">
        <f>+'Expense Input'!B59</f>
        <v>493</v>
      </c>
      <c r="C243" s="63">
        <f>+'Expense Input'!C59</f>
        <v>4000</v>
      </c>
      <c r="D243" s="63">
        <f>+'Expense Input'!D59</f>
        <v>6400</v>
      </c>
      <c r="E243" s="63">
        <f>+'Expense Input'!E59</f>
        <v>310</v>
      </c>
      <c r="F243" s="63" t="str">
        <f>+'Expense Input'!F59</f>
        <v>Staff Development</v>
      </c>
      <c r="G243" s="64">
        <f>+'Expense Input'!Q59</f>
        <v>0</v>
      </c>
      <c r="H243" s="64">
        <f>+'Expense Input'!R59</f>
        <v>0</v>
      </c>
      <c r="I243" s="64">
        <f>+'Expense Input'!S59</f>
        <v>0</v>
      </c>
      <c r="J243" s="129" t="str">
        <f>IF(G243&gt;0.49,"*","")</f>
        <v/>
      </c>
      <c r="L243" s="132">
        <f t="shared" si="844"/>
        <v>0</v>
      </c>
      <c r="M243" s="132">
        <f t="shared" si="876"/>
        <v>0</v>
      </c>
      <c r="N243" s="130"/>
      <c r="O243" s="136"/>
      <c r="P243" s="136">
        <f>IF(B243=490,G243,0)</f>
        <v>0</v>
      </c>
      <c r="Q243" s="136">
        <f t="shared" si="877"/>
        <v>0</v>
      </c>
      <c r="R243" s="136">
        <f t="shared" si="878"/>
        <v>0</v>
      </c>
      <c r="S243" s="136">
        <f t="shared" si="879"/>
        <v>0</v>
      </c>
      <c r="T243" s="136">
        <f t="shared" si="835"/>
        <v>0</v>
      </c>
      <c r="U243" s="136">
        <f t="shared" si="835"/>
        <v>0</v>
      </c>
      <c r="V243" s="136">
        <f t="shared" si="880"/>
        <v>0</v>
      </c>
      <c r="W243" s="136">
        <f t="shared" si="881"/>
        <v>0</v>
      </c>
      <c r="X243" s="130">
        <f t="shared" si="854"/>
        <v>0</v>
      </c>
      <c r="Z243" s="103">
        <f t="shared" si="886"/>
        <v>0</v>
      </c>
      <c r="AA243" s="103">
        <f t="shared" si="887"/>
        <v>0</v>
      </c>
      <c r="AB243" s="103">
        <f t="shared" si="887"/>
        <v>0</v>
      </c>
      <c r="AD243" s="103">
        <f t="shared" si="888"/>
        <v>0</v>
      </c>
      <c r="AE243" s="103">
        <f t="shared" si="889"/>
        <v>0</v>
      </c>
      <c r="AF243" s="103">
        <f t="shared" si="889"/>
        <v>0</v>
      </c>
      <c r="AH243" s="103">
        <f t="shared" si="890"/>
        <v>0</v>
      </c>
      <c r="AI243" s="103">
        <f t="shared" si="891"/>
        <v>0</v>
      </c>
      <c r="AJ243" s="103">
        <f t="shared" si="891"/>
        <v>0</v>
      </c>
      <c r="AL243" s="103">
        <f t="shared" si="892"/>
        <v>0</v>
      </c>
      <c r="AM243" s="103">
        <f t="shared" si="893"/>
        <v>0</v>
      </c>
      <c r="AN243" s="103">
        <f t="shared" si="893"/>
        <v>0</v>
      </c>
      <c r="AO243" s="165" t="s">
        <v>42</v>
      </c>
    </row>
    <row r="244" spans="1:41" ht="12" hidden="1" customHeight="1" x14ac:dyDescent="0.25">
      <c r="A244" s="131"/>
      <c r="B244" s="63">
        <f>+'Expense Input'!B60</f>
        <v>100</v>
      </c>
      <c r="C244" s="63">
        <f>+'Expense Input'!C60</f>
        <v>4000</v>
      </c>
      <c r="D244" s="63">
        <f>+'Expense Input'!D60</f>
        <v>6400</v>
      </c>
      <c r="E244" s="63">
        <f>+'Expense Input'!E60</f>
        <v>330</v>
      </c>
      <c r="F244" s="63" t="str">
        <f>+'Expense Input'!F60</f>
        <v>Travel</v>
      </c>
      <c r="G244" s="64">
        <f>+'Expense Input'!Q60</f>
        <v>0</v>
      </c>
      <c r="H244" s="64">
        <f>+'Expense Input'!R60</f>
        <v>0</v>
      </c>
      <c r="I244" s="64">
        <f>+'Expense Input'!S60</f>
        <v>0</v>
      </c>
      <c r="J244" s="129" t="str">
        <f t="shared" ref="J244:J379" si="901">IF(G244&gt;0.49,"*","")</f>
        <v/>
      </c>
      <c r="L244" s="132">
        <f t="shared" si="844"/>
        <v>0</v>
      </c>
      <c r="M244" s="132">
        <f t="shared" si="876"/>
        <v>0</v>
      </c>
      <c r="N244" s="130"/>
      <c r="O244" s="136"/>
      <c r="P244" s="136">
        <f>IF(B244=490,G244,0)</f>
        <v>0</v>
      </c>
      <c r="Q244" s="136">
        <f t="shared" si="877"/>
        <v>0</v>
      </c>
      <c r="R244" s="136">
        <f t="shared" si="878"/>
        <v>0</v>
      </c>
      <c r="S244" s="136">
        <f t="shared" si="879"/>
        <v>0</v>
      </c>
      <c r="T244" s="136">
        <f t="shared" si="835"/>
        <v>0</v>
      </c>
      <c r="U244" s="136">
        <f t="shared" si="835"/>
        <v>0</v>
      </c>
      <c r="V244" s="136">
        <f t="shared" si="880"/>
        <v>0</v>
      </c>
      <c r="W244" s="136">
        <f t="shared" si="881"/>
        <v>0</v>
      </c>
      <c r="X244" s="130">
        <f t="shared" si="854"/>
        <v>0</v>
      </c>
      <c r="Z244" s="64"/>
      <c r="AA244" s="64"/>
      <c r="AB244" s="64"/>
      <c r="AD244" s="64"/>
      <c r="AE244" s="64"/>
      <c r="AF244" s="64"/>
      <c r="AH244" s="64"/>
      <c r="AI244" s="64"/>
      <c r="AJ244" s="64"/>
      <c r="AL244" s="64"/>
      <c r="AM244" s="64"/>
      <c r="AN244" s="64"/>
      <c r="AO244" s="165"/>
    </row>
    <row r="245" spans="1:41" ht="12" customHeight="1" x14ac:dyDescent="0.25">
      <c r="A245" s="131"/>
      <c r="B245" s="63"/>
      <c r="C245" s="63"/>
      <c r="D245" s="63"/>
      <c r="E245" s="63"/>
      <c r="F245" s="63"/>
      <c r="G245" s="65"/>
      <c r="H245" s="65"/>
      <c r="I245" s="65"/>
      <c r="J245" s="129" t="str">
        <f>IF(J246="*","*","")</f>
        <v>*</v>
      </c>
      <c r="L245" s="132">
        <f t="shared" si="844"/>
        <v>0</v>
      </c>
      <c r="M245" s="132">
        <f t="shared" si="876"/>
        <v>0</v>
      </c>
      <c r="N245" s="130"/>
      <c r="O245" s="136"/>
      <c r="P245" s="136">
        <f>IF(B245=432,G245,0)</f>
        <v>0</v>
      </c>
      <c r="Q245" s="136">
        <f t="shared" si="877"/>
        <v>0</v>
      </c>
      <c r="R245" s="136">
        <f t="shared" si="878"/>
        <v>0</v>
      </c>
      <c r="S245" s="136">
        <f t="shared" si="879"/>
        <v>0</v>
      </c>
      <c r="T245" s="136">
        <f t="shared" si="835"/>
        <v>0</v>
      </c>
      <c r="U245" s="136">
        <f t="shared" si="835"/>
        <v>0</v>
      </c>
      <c r="V245" s="136">
        <f t="shared" si="880"/>
        <v>0</v>
      </c>
      <c r="W245" s="136">
        <f t="shared" si="881"/>
        <v>0</v>
      </c>
      <c r="X245" s="130">
        <f t="shared" si="854"/>
        <v>0</v>
      </c>
      <c r="Z245" s="65"/>
      <c r="AA245" s="65"/>
      <c r="AB245" s="65"/>
      <c r="AD245" s="65"/>
      <c r="AE245" s="65"/>
      <c r="AF245" s="65"/>
      <c r="AH245" s="65"/>
      <c r="AI245" s="65"/>
      <c r="AJ245" s="65"/>
      <c r="AL245" s="65"/>
      <c r="AM245" s="65"/>
      <c r="AN245" s="65"/>
      <c r="AO245" s="165"/>
    </row>
    <row r="246" spans="1:41" x14ac:dyDescent="0.25">
      <c r="A246" s="131"/>
      <c r="F246" s="85" t="s">
        <v>70</v>
      </c>
      <c r="G246" s="86">
        <f>SUM(G241:G245)</f>
        <v>10553.41535556284</v>
      </c>
      <c r="H246" s="86">
        <f t="shared" ref="H246:I246" si="902">SUM(H241:H245)</f>
        <v>5070.139522432808</v>
      </c>
      <c r="I246" s="86">
        <f t="shared" si="902"/>
        <v>5483.275833130032</v>
      </c>
      <c r="J246" s="129" t="str">
        <f>IF(G246&gt;0.49,"*","")</f>
        <v>*</v>
      </c>
      <c r="L246" s="133">
        <f>SUM(L240:L245)</f>
        <v>0</v>
      </c>
      <c r="M246" s="133">
        <f>SUM(M240:M245)</f>
        <v>10553.41535556284</v>
      </c>
      <c r="N246" s="130"/>
      <c r="O246" s="86">
        <f t="shared" ref="O246:X246" si="903">SUM(O241:O245)</f>
        <v>0</v>
      </c>
      <c r="P246" s="86">
        <f t="shared" si="903"/>
        <v>0</v>
      </c>
      <c r="Q246" s="86">
        <f t="shared" si="903"/>
        <v>0</v>
      </c>
      <c r="R246" s="86">
        <f t="shared" si="903"/>
        <v>600</v>
      </c>
      <c r="S246" s="86">
        <f t="shared" si="903"/>
        <v>600</v>
      </c>
      <c r="T246" s="86">
        <f t="shared" si="903"/>
        <v>0</v>
      </c>
      <c r="U246" s="86">
        <f t="shared" si="903"/>
        <v>0</v>
      </c>
      <c r="V246" s="86">
        <f t="shared" si="903"/>
        <v>0</v>
      </c>
      <c r="W246" s="86">
        <f t="shared" si="903"/>
        <v>0</v>
      </c>
      <c r="X246" s="86">
        <f t="shared" si="903"/>
        <v>0</v>
      </c>
      <c r="Z246" s="86">
        <f>SUM(Z241:Z245)</f>
        <v>13373.165887860156</v>
      </c>
      <c r="AA246" s="86">
        <f t="shared" ref="AA246:AB246" si="904">SUM(AA241:AA245)</f>
        <v>5547.5776607952303</v>
      </c>
      <c r="AB246" s="86">
        <f t="shared" si="904"/>
        <v>7825.5882270649263</v>
      </c>
      <c r="AD246" s="86">
        <f>SUM(AD241:AD245)</f>
        <v>13506.897546738757</v>
      </c>
      <c r="AE246" s="86">
        <f t="shared" ref="AE246:AF246" si="905">SUM(AE241:AE245)</f>
        <v>5603.0534374031831</v>
      </c>
      <c r="AF246" s="86">
        <f t="shared" si="905"/>
        <v>7903.844109335575</v>
      </c>
      <c r="AH246" s="86">
        <f>SUM(AH241:AH245)</f>
        <v>14691.34856237585</v>
      </c>
      <c r="AI246" s="86">
        <f t="shared" ref="AI246:AJ246" si="906">SUM(AI241:AI245)</f>
        <v>6094.3981234523853</v>
      </c>
      <c r="AJ246" s="86">
        <f t="shared" si="906"/>
        <v>8596.9504389234644</v>
      </c>
      <c r="AL246" s="86">
        <f>SUM(AL241:AL245)</f>
        <v>14838.262047999608</v>
      </c>
      <c r="AM246" s="86">
        <f t="shared" ref="AM246:AN246" si="907">SUM(AM241:AM245)</f>
        <v>6155.3421046869089</v>
      </c>
      <c r="AN246" s="86">
        <f t="shared" si="907"/>
        <v>8682.9199433126996</v>
      </c>
      <c r="AO246" s="165"/>
    </row>
    <row r="247" spans="1:41" x14ac:dyDescent="0.25">
      <c r="A247" s="131"/>
      <c r="F247" s="79"/>
      <c r="J247" s="129" t="str">
        <f>IF(J246="*","*","")</f>
        <v>*</v>
      </c>
      <c r="L247" s="132">
        <f t="shared" si="844"/>
        <v>0</v>
      </c>
      <c r="M247" s="132">
        <f>IF(E247&gt;299,G247,0)</f>
        <v>0</v>
      </c>
      <c r="N247" s="130"/>
      <c r="O247" s="136"/>
      <c r="P247" s="136">
        <f>IF(B247=432,G247,0)</f>
        <v>0</v>
      </c>
      <c r="Q247" s="136">
        <f t="shared" ref="Q247:Q260" si="908">IF(B247=410,H247,0)</f>
        <v>0</v>
      </c>
      <c r="R247" s="136">
        <f t="shared" ref="R247:R260" si="909">IF(B247=432,H247,0)</f>
        <v>0</v>
      </c>
      <c r="S247" s="136">
        <f t="shared" ref="S247:S260" si="910">IF(B247=432,I247,0)</f>
        <v>0</v>
      </c>
      <c r="T247" s="136">
        <f t="shared" si="835"/>
        <v>0</v>
      </c>
      <c r="U247" s="136">
        <f t="shared" si="835"/>
        <v>0</v>
      </c>
      <c r="V247" s="136">
        <f t="shared" ref="V247:V260" si="911">IF(B247=360,I247,0)</f>
        <v>0</v>
      </c>
      <c r="W247" s="136">
        <f t="shared" ref="W247:W260" si="912">IF(B247=410,I247,0)</f>
        <v>0</v>
      </c>
      <c r="X247" s="130">
        <f t="shared" si="854"/>
        <v>0</v>
      </c>
      <c r="AO247" s="165"/>
    </row>
    <row r="248" spans="1:41" x14ac:dyDescent="0.25">
      <c r="A248" s="113">
        <v>100</v>
      </c>
      <c r="B248" s="114">
        <v>100</v>
      </c>
      <c r="C248" s="114">
        <v>4000</v>
      </c>
      <c r="D248" s="114">
        <v>6500</v>
      </c>
      <c r="E248" s="114">
        <v>160</v>
      </c>
      <c r="F248" s="114" t="s">
        <v>71</v>
      </c>
      <c r="G248" s="103">
        <f>+'Payroll Input'!H104</f>
        <v>43774.83</v>
      </c>
      <c r="H248" s="88">
        <f>+'Payroll Input'!H$104*60%</f>
        <v>26264.898000000001</v>
      </c>
      <c r="I248" s="88">
        <f>+'Payroll Input'!H$104*40%</f>
        <v>17509.932000000001</v>
      </c>
      <c r="J248" s="129" t="str">
        <f t="shared" ref="J248:J253" si="913">IF(G248&gt;0.49,"*","")</f>
        <v>*</v>
      </c>
      <c r="L248" s="132">
        <f t="shared" si="844"/>
        <v>43774.83</v>
      </c>
      <c r="M248" s="132">
        <f t="shared" ref="M248:M254" si="914">IF(E248&gt;299,G248,0)</f>
        <v>0</v>
      </c>
      <c r="N248" s="130"/>
      <c r="O248" s="136"/>
      <c r="P248" s="136">
        <f t="shared" ref="P248:P259" si="915">IF(B248=490,G248,0)</f>
        <v>0</v>
      </c>
      <c r="Q248" s="136">
        <f t="shared" si="908"/>
        <v>0</v>
      </c>
      <c r="R248" s="136">
        <f t="shared" si="909"/>
        <v>0</v>
      </c>
      <c r="S248" s="136">
        <f t="shared" si="910"/>
        <v>0</v>
      </c>
      <c r="T248" s="136">
        <f t="shared" si="835"/>
        <v>0</v>
      </c>
      <c r="U248" s="136">
        <f t="shared" si="835"/>
        <v>0</v>
      </c>
      <c r="V248" s="136">
        <f t="shared" si="911"/>
        <v>0</v>
      </c>
      <c r="W248" s="136">
        <f t="shared" si="912"/>
        <v>0</v>
      </c>
      <c r="X248" s="130">
        <f t="shared" si="854"/>
        <v>0</v>
      </c>
      <c r="Z248" s="88">
        <f t="shared" ref="Z248:Z253" si="916">AA248+AB248</f>
        <v>44037.47898</v>
      </c>
      <c r="AA248" s="132">
        <f>+H248*Inf</f>
        <v>26527.546980000003</v>
      </c>
      <c r="AB248" s="132">
        <f t="shared" ref="AB248" si="917">+I248</f>
        <v>17509.932000000001</v>
      </c>
      <c r="AC248" s="129"/>
      <c r="AD248" s="88">
        <f t="shared" ref="AD248:AD253" si="918">AE248+AF248</f>
        <v>44477.8537698</v>
      </c>
      <c r="AE248" s="132">
        <f>AA248*Inf</f>
        <v>26792.822449800002</v>
      </c>
      <c r="AF248" s="132">
        <f>AB248*Inf</f>
        <v>17685.031320000002</v>
      </c>
      <c r="AG248" s="129"/>
      <c r="AH248" s="88">
        <f t="shared" ref="AH248:AH253" si="919">AI248+AJ248</f>
        <v>44922.632307498003</v>
      </c>
      <c r="AI248" s="132">
        <f>AE248*Inf</f>
        <v>27060.750674298</v>
      </c>
      <c r="AJ248" s="132">
        <f>AF248*Inf</f>
        <v>17861.881633200002</v>
      </c>
      <c r="AK248" s="129"/>
      <c r="AL248" s="88">
        <f t="shared" ref="AL248:AL253" si="920">AM248+AN248</f>
        <v>45371.858630572984</v>
      </c>
      <c r="AM248" s="132">
        <f>AI248*Inf</f>
        <v>27331.358181040981</v>
      </c>
      <c r="AN248" s="132">
        <f>AJ248*Inf</f>
        <v>18040.500449532003</v>
      </c>
      <c r="AO248" s="165" t="s">
        <v>35</v>
      </c>
    </row>
    <row r="249" spans="1:41" s="1" customFormat="1" x14ac:dyDescent="0.25">
      <c r="A249" s="134">
        <v>100</v>
      </c>
      <c r="B249" s="134">
        <v>100</v>
      </c>
      <c r="C249" s="134">
        <v>4000</v>
      </c>
      <c r="D249" s="134">
        <v>6500</v>
      </c>
      <c r="E249" s="134">
        <v>210</v>
      </c>
      <c r="F249" s="134" t="s">
        <v>45</v>
      </c>
      <c r="G249" s="132">
        <f>+'Payroll Input'!I104</f>
        <v>5213.5822530000005</v>
      </c>
      <c r="H249" s="88">
        <f>+'Payroll Input'!$I$104*60%</f>
        <v>3128.1493518000002</v>
      </c>
      <c r="I249" s="88">
        <f>+'Payroll Input'!$I$104*40%</f>
        <v>2085.4329012000003</v>
      </c>
      <c r="J249" s="129" t="str">
        <f t="shared" si="913"/>
        <v>*</v>
      </c>
      <c r="K249" s="129"/>
      <c r="L249" s="132">
        <f t="shared" ref="L249:L258" si="921">IF(E249&lt;300,G249,0)</f>
        <v>5213.5822530000005</v>
      </c>
      <c r="M249" s="132">
        <f t="shared" si="914"/>
        <v>0</v>
      </c>
      <c r="N249" s="130"/>
      <c r="O249" s="136"/>
      <c r="P249" s="136">
        <f t="shared" si="915"/>
        <v>0</v>
      </c>
      <c r="Q249" s="136">
        <f t="shared" si="908"/>
        <v>0</v>
      </c>
      <c r="R249" s="136">
        <f t="shared" si="909"/>
        <v>0</v>
      </c>
      <c r="S249" s="136">
        <f t="shared" si="910"/>
        <v>0</v>
      </c>
      <c r="T249" s="136">
        <f t="shared" si="835"/>
        <v>0</v>
      </c>
      <c r="U249" s="136">
        <f t="shared" si="835"/>
        <v>0</v>
      </c>
      <c r="V249" s="136">
        <f t="shared" si="911"/>
        <v>0</v>
      </c>
      <c r="W249" s="136">
        <f t="shared" si="912"/>
        <v>0</v>
      </c>
      <c r="X249" s="130">
        <f t="shared" ref="X249:X258" si="922">+W249+Q249-O249</f>
        <v>0</v>
      </c>
      <c r="Y249" s="129"/>
      <c r="Z249" s="88">
        <f t="shared" si="916"/>
        <v>4403.7478980000005</v>
      </c>
      <c r="AA249" s="132">
        <f>SUM(AA$248)*10%</f>
        <v>2652.7546980000006</v>
      </c>
      <c r="AB249" s="132">
        <f>SUM(AB$248)*10%</f>
        <v>1750.9932000000001</v>
      </c>
      <c r="AC249" s="129"/>
      <c r="AD249" s="88">
        <f t="shared" si="918"/>
        <v>4447.7853769800004</v>
      </c>
      <c r="AE249" s="132">
        <f>SUM(AE$248)*10%</f>
        <v>2679.2822449800005</v>
      </c>
      <c r="AF249" s="132">
        <f>SUM(AF$248)*10%</f>
        <v>1768.5031320000003</v>
      </c>
      <c r="AG249" s="129"/>
      <c r="AH249" s="88">
        <f t="shared" si="919"/>
        <v>4492.2632307498006</v>
      </c>
      <c r="AI249" s="132">
        <f>SUM(AI$248)*10%</f>
        <v>2706.0750674298001</v>
      </c>
      <c r="AJ249" s="132">
        <f>SUM(AJ$248)*10%</f>
        <v>1786.1881633200003</v>
      </c>
      <c r="AK249" s="129"/>
      <c r="AL249" s="88">
        <f t="shared" si="920"/>
        <v>4537.1858630572988</v>
      </c>
      <c r="AM249" s="132">
        <f>SUM(AM$248)*10%</f>
        <v>2733.1358181040982</v>
      </c>
      <c r="AN249" s="132">
        <f>SUM(AN$248)*10%</f>
        <v>1804.0500449532003</v>
      </c>
      <c r="AO249" s="165" t="s">
        <v>56</v>
      </c>
    </row>
    <row r="250" spans="1:41" x14ac:dyDescent="0.25">
      <c r="A250" s="134">
        <v>100</v>
      </c>
      <c r="B250" s="134">
        <v>100</v>
      </c>
      <c r="C250" s="63">
        <v>4000</v>
      </c>
      <c r="D250" s="63">
        <v>6500</v>
      </c>
      <c r="E250" s="63">
        <v>220</v>
      </c>
      <c r="F250" s="63" t="s">
        <v>47</v>
      </c>
      <c r="G250" s="88">
        <f>+'Payroll Input'!K104</f>
        <v>3348.7744950000001</v>
      </c>
      <c r="H250" s="88">
        <f>+'Payroll Input'!$K$104*60%</f>
        <v>2009.2646970000001</v>
      </c>
      <c r="I250" s="88">
        <f>+'Payroll Input'!$K$104*40%</f>
        <v>1339.509798</v>
      </c>
      <c r="J250" s="129" t="str">
        <f t="shared" si="913"/>
        <v>*</v>
      </c>
      <c r="L250" s="132">
        <f t="shared" si="921"/>
        <v>3348.7744950000001</v>
      </c>
      <c r="M250" s="132">
        <f t="shared" si="914"/>
        <v>0</v>
      </c>
      <c r="N250" s="130"/>
      <c r="O250" s="136"/>
      <c r="P250" s="136">
        <f t="shared" si="915"/>
        <v>0</v>
      </c>
      <c r="Q250" s="136">
        <f t="shared" si="908"/>
        <v>0</v>
      </c>
      <c r="R250" s="136">
        <f t="shared" si="909"/>
        <v>0</v>
      </c>
      <c r="S250" s="136">
        <f t="shared" si="910"/>
        <v>0</v>
      </c>
      <c r="T250" s="136">
        <f t="shared" si="835"/>
        <v>0</v>
      </c>
      <c r="U250" s="136">
        <f t="shared" si="835"/>
        <v>0</v>
      </c>
      <c r="V250" s="136">
        <f t="shared" si="911"/>
        <v>0</v>
      </c>
      <c r="W250" s="136">
        <f t="shared" si="912"/>
        <v>0</v>
      </c>
      <c r="X250" s="130">
        <f t="shared" si="922"/>
        <v>0</v>
      </c>
      <c r="Z250" s="88">
        <f t="shared" si="916"/>
        <v>3368.8671419700004</v>
      </c>
      <c r="AA250" s="132">
        <f>SUM(AA$248)*7.65%</f>
        <v>2029.3573439700001</v>
      </c>
      <c r="AB250" s="132">
        <f>SUM(AB$248)*7.65%</f>
        <v>1339.509798</v>
      </c>
      <c r="AC250" s="129"/>
      <c r="AD250" s="88">
        <f t="shared" si="918"/>
        <v>3402.5558133897002</v>
      </c>
      <c r="AE250" s="132">
        <f>SUM(AE$248)*7.65%</f>
        <v>2049.6509174097</v>
      </c>
      <c r="AF250" s="132">
        <f>SUM(AF$248)*7.65%</f>
        <v>1352.9048959800002</v>
      </c>
      <c r="AG250" s="129"/>
      <c r="AH250" s="88">
        <f t="shared" si="919"/>
        <v>3436.5813715235972</v>
      </c>
      <c r="AI250" s="132">
        <f>SUM(AI$248)*7.65%</f>
        <v>2070.1474265837969</v>
      </c>
      <c r="AJ250" s="132">
        <f>SUM(AJ$248)*7.65%</f>
        <v>1366.4339449398001</v>
      </c>
      <c r="AK250" s="129"/>
      <c r="AL250" s="88">
        <f t="shared" si="920"/>
        <v>3470.9471852388333</v>
      </c>
      <c r="AM250" s="132">
        <f>SUM(AM$248)*7.65%</f>
        <v>2090.8489008496349</v>
      </c>
      <c r="AN250" s="132">
        <f>SUM(AN$248)*7.65%</f>
        <v>1380.0982843891982</v>
      </c>
      <c r="AO250" s="165" t="s">
        <v>57</v>
      </c>
    </row>
    <row r="251" spans="1:41" ht="13.2" hidden="1" customHeight="1" x14ac:dyDescent="0.25">
      <c r="A251" s="134">
        <v>100</v>
      </c>
      <c r="B251" s="134">
        <v>100</v>
      </c>
      <c r="C251" s="63">
        <v>4000</v>
      </c>
      <c r="D251" s="63">
        <v>6500</v>
      </c>
      <c r="E251" s="63">
        <v>230</v>
      </c>
      <c r="F251" s="63" t="s">
        <v>49</v>
      </c>
      <c r="G251" s="88">
        <f>+'Payroll Input'!L104</f>
        <v>0</v>
      </c>
      <c r="H251" s="88">
        <f>+'Payroll Input'!$L$104*50%</f>
        <v>0</v>
      </c>
      <c r="I251" s="88">
        <f>+'Payroll Input'!$L$104*50%</f>
        <v>0</v>
      </c>
      <c r="J251" s="129" t="str">
        <f t="shared" si="913"/>
        <v/>
      </c>
      <c r="L251" s="132">
        <f t="shared" si="921"/>
        <v>0</v>
      </c>
      <c r="M251" s="132">
        <f t="shared" si="914"/>
        <v>0</v>
      </c>
      <c r="N251" s="130"/>
      <c r="O251" s="136"/>
      <c r="P251" s="136">
        <f t="shared" si="915"/>
        <v>0</v>
      </c>
      <c r="Q251" s="136">
        <f t="shared" si="908"/>
        <v>0</v>
      </c>
      <c r="R251" s="136">
        <f t="shared" si="909"/>
        <v>0</v>
      </c>
      <c r="S251" s="136">
        <f t="shared" si="910"/>
        <v>0</v>
      </c>
      <c r="T251" s="136">
        <f t="shared" si="835"/>
        <v>0</v>
      </c>
      <c r="U251" s="136">
        <f t="shared" si="835"/>
        <v>0</v>
      </c>
      <c r="V251" s="136">
        <f t="shared" si="911"/>
        <v>0</v>
      </c>
      <c r="W251" s="136">
        <f t="shared" si="912"/>
        <v>0</v>
      </c>
      <c r="X251" s="130">
        <f t="shared" si="922"/>
        <v>0</v>
      </c>
      <c r="Z251" s="88">
        <f t="shared" si="916"/>
        <v>0</v>
      </c>
      <c r="AA251" s="132">
        <f t="shared" ref="AA251:AB253" si="923">H251/SUM(H$248)*SUM(AA$248)</f>
        <v>0</v>
      </c>
      <c r="AB251" s="132">
        <f t="shared" si="923"/>
        <v>0</v>
      </c>
      <c r="AC251" s="129"/>
      <c r="AD251" s="88">
        <f t="shared" si="918"/>
        <v>0</v>
      </c>
      <c r="AE251" s="132">
        <f t="shared" ref="AE251:AF253" si="924">AA251/SUM(AA$248)*SUM(AE$248)</f>
        <v>0</v>
      </c>
      <c r="AF251" s="132">
        <f t="shared" si="924"/>
        <v>0</v>
      </c>
      <c r="AG251" s="129"/>
      <c r="AH251" s="88">
        <f t="shared" si="919"/>
        <v>0</v>
      </c>
      <c r="AI251" s="132">
        <f t="shared" ref="AI251:AJ253" si="925">AE251/SUM(AE$248)*SUM(AI$248)</f>
        <v>0</v>
      </c>
      <c r="AJ251" s="132">
        <f t="shared" si="925"/>
        <v>0</v>
      </c>
      <c r="AK251" s="129"/>
      <c r="AL251" s="88">
        <f t="shared" si="920"/>
        <v>0</v>
      </c>
      <c r="AM251" s="132">
        <f t="shared" ref="AM251:AN253" si="926">AI251/SUM(AI$248)*SUM(AM$248)</f>
        <v>0</v>
      </c>
      <c r="AN251" s="132">
        <f t="shared" si="926"/>
        <v>0</v>
      </c>
      <c r="AO251" s="165" t="s">
        <v>50</v>
      </c>
    </row>
    <row r="252" spans="1:41" ht="12" customHeight="1" x14ac:dyDescent="0.25">
      <c r="A252" s="134">
        <v>100</v>
      </c>
      <c r="B252" s="134">
        <v>100</v>
      </c>
      <c r="C252" s="63">
        <v>4000</v>
      </c>
      <c r="D252" s="63">
        <v>6500</v>
      </c>
      <c r="E252" s="63">
        <v>240</v>
      </c>
      <c r="F252" s="63" t="s">
        <v>51</v>
      </c>
      <c r="G252" s="88">
        <f>+'Payroll Input'!N104</f>
        <v>188.23176900000001</v>
      </c>
      <c r="H252" s="88">
        <f>+'Payroll Input'!$N$104*60%</f>
        <v>112.9390614</v>
      </c>
      <c r="I252" s="88">
        <f>+'Payroll Input'!$N$104*40%</f>
        <v>75.292707600000014</v>
      </c>
      <c r="J252" s="129" t="str">
        <f t="shared" si="913"/>
        <v>*</v>
      </c>
      <c r="L252" s="132">
        <f t="shared" si="921"/>
        <v>188.23176900000001</v>
      </c>
      <c r="M252" s="132">
        <f t="shared" si="914"/>
        <v>0</v>
      </c>
      <c r="N252" s="130"/>
      <c r="O252" s="136"/>
      <c r="P252" s="136">
        <f t="shared" si="915"/>
        <v>0</v>
      </c>
      <c r="Q252" s="136">
        <f t="shared" si="908"/>
        <v>0</v>
      </c>
      <c r="R252" s="136">
        <f t="shared" si="909"/>
        <v>0</v>
      </c>
      <c r="S252" s="136">
        <f t="shared" si="910"/>
        <v>0</v>
      </c>
      <c r="T252" s="136">
        <f t="shared" si="835"/>
        <v>0</v>
      </c>
      <c r="U252" s="136">
        <f t="shared" si="835"/>
        <v>0</v>
      </c>
      <c r="V252" s="136">
        <f t="shared" si="911"/>
        <v>0</v>
      </c>
      <c r="W252" s="136">
        <f t="shared" si="912"/>
        <v>0</v>
      </c>
      <c r="X252" s="130">
        <f t="shared" si="922"/>
        <v>0</v>
      </c>
      <c r="Z252" s="88">
        <f t="shared" si="916"/>
        <v>189.36115961400003</v>
      </c>
      <c r="AA252" s="132">
        <f t="shared" si="923"/>
        <v>114.06845201400002</v>
      </c>
      <c r="AB252" s="132">
        <f t="shared" si="923"/>
        <v>75.292707600000014</v>
      </c>
      <c r="AC252" s="129"/>
      <c r="AD252" s="88">
        <f t="shared" si="918"/>
        <v>191.25477121014001</v>
      </c>
      <c r="AE252" s="132">
        <f t="shared" si="924"/>
        <v>115.20913653414</v>
      </c>
      <c r="AF252" s="132">
        <f t="shared" si="924"/>
        <v>76.04563467600002</v>
      </c>
      <c r="AG252" s="129"/>
      <c r="AH252" s="88">
        <f t="shared" si="919"/>
        <v>193.16731892224144</v>
      </c>
      <c r="AI252" s="132">
        <f t="shared" si="925"/>
        <v>116.36122789948141</v>
      </c>
      <c r="AJ252" s="132">
        <f t="shared" si="925"/>
        <v>76.806091022760029</v>
      </c>
      <c r="AK252" s="129"/>
      <c r="AL252" s="88">
        <f t="shared" si="920"/>
        <v>195.09899211146387</v>
      </c>
      <c r="AM252" s="132">
        <f t="shared" si="926"/>
        <v>117.52484017847623</v>
      </c>
      <c r="AN252" s="132">
        <f t="shared" si="926"/>
        <v>77.574151932987633</v>
      </c>
      <c r="AO252" s="165" t="s">
        <v>50</v>
      </c>
    </row>
    <row r="253" spans="1:41" x14ac:dyDescent="0.25">
      <c r="A253" s="134">
        <v>100</v>
      </c>
      <c r="B253" s="134">
        <v>100</v>
      </c>
      <c r="C253" s="63">
        <v>4000</v>
      </c>
      <c r="D253" s="63">
        <v>6500</v>
      </c>
      <c r="E253" s="63">
        <v>250</v>
      </c>
      <c r="F253" s="63" t="s">
        <v>52</v>
      </c>
      <c r="G253" s="88">
        <f>+'Payroll Input'!O104</f>
        <v>21</v>
      </c>
      <c r="H253" s="88">
        <f>+'Payroll Input'!$O$104*60%</f>
        <v>12.6</v>
      </c>
      <c r="I253" s="88">
        <f>+'Payroll Input'!$O$104*40%</f>
        <v>8.4</v>
      </c>
      <c r="J253" s="129" t="str">
        <f t="shared" si="913"/>
        <v>*</v>
      </c>
      <c r="L253" s="132">
        <f t="shared" si="921"/>
        <v>21</v>
      </c>
      <c r="M253" s="132">
        <f t="shared" si="914"/>
        <v>0</v>
      </c>
      <c r="N253" s="130"/>
      <c r="O253" s="136"/>
      <c r="P253" s="136">
        <f t="shared" si="915"/>
        <v>0</v>
      </c>
      <c r="Q253" s="136">
        <f t="shared" si="908"/>
        <v>0</v>
      </c>
      <c r="R253" s="136">
        <f t="shared" si="909"/>
        <v>0</v>
      </c>
      <c r="S253" s="136">
        <f t="shared" si="910"/>
        <v>0</v>
      </c>
      <c r="T253" s="136">
        <f t="shared" si="835"/>
        <v>0</v>
      </c>
      <c r="U253" s="136">
        <f t="shared" si="835"/>
        <v>0</v>
      </c>
      <c r="V253" s="136">
        <f t="shared" si="911"/>
        <v>0</v>
      </c>
      <c r="W253" s="136">
        <f t="shared" si="912"/>
        <v>0</v>
      </c>
      <c r="X253" s="130">
        <f t="shared" si="922"/>
        <v>0</v>
      </c>
      <c r="Z253" s="88">
        <f t="shared" si="916"/>
        <v>21.125999999999998</v>
      </c>
      <c r="AA253" s="132">
        <f t="shared" si="923"/>
        <v>12.725999999999999</v>
      </c>
      <c r="AB253" s="132">
        <f t="shared" si="923"/>
        <v>8.4</v>
      </c>
      <c r="AC253" s="129"/>
      <c r="AD253" s="88">
        <f t="shared" si="918"/>
        <v>21.337260000000001</v>
      </c>
      <c r="AE253" s="132">
        <f t="shared" si="924"/>
        <v>12.853259999999999</v>
      </c>
      <c r="AF253" s="132">
        <f t="shared" si="924"/>
        <v>8.4840000000000018</v>
      </c>
      <c r="AG253" s="129"/>
      <c r="AH253" s="88">
        <f t="shared" si="919"/>
        <v>21.5506326</v>
      </c>
      <c r="AI253" s="132">
        <f t="shared" si="925"/>
        <v>12.981792599999999</v>
      </c>
      <c r="AJ253" s="132">
        <f t="shared" si="925"/>
        <v>8.5688400000000016</v>
      </c>
      <c r="AK253" s="129"/>
      <c r="AL253" s="88">
        <f t="shared" si="920"/>
        <v>21.766138926000004</v>
      </c>
      <c r="AM253" s="132">
        <f t="shared" si="926"/>
        <v>13.111610526</v>
      </c>
      <c r="AN253" s="132">
        <f t="shared" si="926"/>
        <v>8.654528400000002</v>
      </c>
      <c r="AO253" s="165" t="s">
        <v>50</v>
      </c>
    </row>
    <row r="254" spans="1:41" ht="13.2" hidden="1" customHeight="1" x14ac:dyDescent="0.25">
      <c r="A254" s="131"/>
      <c r="B254" s="63"/>
      <c r="C254" s="63"/>
      <c r="D254" s="63"/>
      <c r="E254" s="63"/>
      <c r="F254" s="63"/>
      <c r="G254" s="64"/>
      <c r="H254" s="64"/>
      <c r="I254" s="64"/>
      <c r="J254" s="129" t="str">
        <f>IF(G254&gt;0.49,"*","")</f>
        <v/>
      </c>
      <c r="L254" s="132">
        <f t="shared" si="921"/>
        <v>0</v>
      </c>
      <c r="M254" s="132">
        <f t="shared" si="914"/>
        <v>0</v>
      </c>
      <c r="N254" s="130"/>
      <c r="O254" s="136"/>
      <c r="P254" s="136">
        <f t="shared" si="915"/>
        <v>0</v>
      </c>
      <c r="Q254" s="136">
        <f t="shared" si="908"/>
        <v>0</v>
      </c>
      <c r="R254" s="136">
        <f t="shared" si="909"/>
        <v>0</v>
      </c>
      <c r="S254" s="136">
        <f t="shared" si="910"/>
        <v>0</v>
      </c>
      <c r="T254" s="136">
        <f t="shared" si="835"/>
        <v>0</v>
      </c>
      <c r="U254" s="136">
        <f t="shared" si="835"/>
        <v>0</v>
      </c>
      <c r="V254" s="136">
        <f t="shared" si="911"/>
        <v>0</v>
      </c>
      <c r="W254" s="136">
        <f t="shared" si="912"/>
        <v>0</v>
      </c>
      <c r="X254" s="130">
        <f t="shared" si="922"/>
        <v>0</v>
      </c>
      <c r="Z254" s="64"/>
      <c r="AA254" s="64"/>
      <c r="AB254" s="64"/>
      <c r="AD254" s="64"/>
      <c r="AE254" s="64"/>
      <c r="AF254" s="64"/>
      <c r="AH254" s="64"/>
      <c r="AI254" s="64"/>
      <c r="AJ254" s="64"/>
      <c r="AL254" s="64"/>
      <c r="AM254" s="64"/>
      <c r="AN254" s="64"/>
      <c r="AO254" s="165"/>
    </row>
    <row r="255" spans="1:41" x14ac:dyDescent="0.25">
      <c r="A255" s="131"/>
      <c r="B255" s="63">
        <f>'Expense Input'!B61</f>
        <v>100</v>
      </c>
      <c r="C255" s="63">
        <f>'Expense Input'!C61</f>
        <v>4000</v>
      </c>
      <c r="D255" s="63">
        <f>'Expense Input'!D61</f>
        <v>6500</v>
      </c>
      <c r="E255" s="63">
        <f>'Expense Input'!E61</f>
        <v>310</v>
      </c>
      <c r="F255" s="63" t="str">
        <f>'Expense Input'!F61</f>
        <v>Technology Support &amp; Service</v>
      </c>
      <c r="G255" s="64">
        <f>'Expense Input'!Q61</f>
        <v>4196.4288000000006</v>
      </c>
      <c r="H255" s="64">
        <f>'Expense Input'!R61</f>
        <v>2308.0358400000005</v>
      </c>
      <c r="I255" s="64">
        <f>'Expense Input'!S61</f>
        <v>1888.3929600000004</v>
      </c>
      <c r="J255" s="129" t="str">
        <f t="shared" ref="J255" si="927">IF(G255&gt;0.49,"*","")</f>
        <v>*</v>
      </c>
      <c r="L255" s="132">
        <f t="shared" ref="L255" si="928">IF(E255&lt;300,G255,0)</f>
        <v>0</v>
      </c>
      <c r="M255" s="132">
        <f t="shared" ref="M255:M260" si="929">IF(E255&gt;299,G255,0)</f>
        <v>4196.4288000000006</v>
      </c>
      <c r="N255" s="130"/>
      <c r="O255" s="136"/>
      <c r="P255" s="136">
        <f t="shared" si="915"/>
        <v>0</v>
      </c>
      <c r="Q255" s="136">
        <f t="shared" si="908"/>
        <v>0</v>
      </c>
      <c r="R255" s="136">
        <f t="shared" si="909"/>
        <v>0</v>
      </c>
      <c r="S255" s="136">
        <f t="shared" si="910"/>
        <v>0</v>
      </c>
      <c r="T255" s="136">
        <f t="shared" si="835"/>
        <v>0</v>
      </c>
      <c r="U255" s="136">
        <f t="shared" si="835"/>
        <v>0</v>
      </c>
      <c r="V255" s="136">
        <f t="shared" si="911"/>
        <v>0</v>
      </c>
      <c r="W255" s="136">
        <f t="shared" si="912"/>
        <v>0</v>
      </c>
      <c r="X255" s="130">
        <f t="shared" ref="X255" si="930">+W255+Q255-O255</f>
        <v>0</v>
      </c>
      <c r="Z255" s="103">
        <f t="shared" ref="Z255:Z259" si="931">AA255+AB255</f>
        <v>5220.4410516869575</v>
      </c>
      <c r="AA255" s="103">
        <f t="shared" ref="AA255:AB259" si="932">+H255/H$11*AA$11*Inf</f>
        <v>2525.3758816000009</v>
      </c>
      <c r="AB255" s="103">
        <f t="shared" si="932"/>
        <v>2695.0651700869566</v>
      </c>
      <c r="AD255" s="103">
        <f t="shared" ref="AD255:AD259" si="933">AE255+AF255</f>
        <v>5272.6454622038273</v>
      </c>
      <c r="AE255" s="103">
        <f t="shared" ref="AE255:AF259" si="934">+AA255/AA$11*AE$11*Inf</f>
        <v>2550.6296404160007</v>
      </c>
      <c r="AF255" s="103">
        <f t="shared" si="934"/>
        <v>2722.0158217878266</v>
      </c>
      <c r="AH255" s="103">
        <f t="shared" ref="AH255:AH259" si="935">AI255+AJ255</f>
        <v>5735.0159104278555</v>
      </c>
      <c r="AI255" s="103">
        <f t="shared" ref="AI255:AJ259" si="936">+AE255/AE$11*AI$11*Inf</f>
        <v>2774.3002396524807</v>
      </c>
      <c r="AJ255" s="103">
        <f t="shared" si="936"/>
        <v>2960.7156707753747</v>
      </c>
      <c r="AL255" s="103">
        <f t="shared" ref="AL255:AL259" si="937">AM255+AN255</f>
        <v>5792.3660695321341</v>
      </c>
      <c r="AM255" s="103">
        <f t="shared" ref="AM255:AN259" si="938">+AI255/AI$11*AM$11*Inf</f>
        <v>2802.0432420490056</v>
      </c>
      <c r="AN255" s="103">
        <f t="shared" si="938"/>
        <v>2990.3228274831285</v>
      </c>
      <c r="AO255" s="165" t="s">
        <v>42</v>
      </c>
    </row>
    <row r="256" spans="1:41" hidden="1" x14ac:dyDescent="0.25">
      <c r="A256" s="131"/>
      <c r="B256" s="63">
        <f>'Expense Input'!B62</f>
        <v>495</v>
      </c>
      <c r="C256" s="63">
        <f>'Expense Input'!C62</f>
        <v>4000</v>
      </c>
      <c r="D256" s="63">
        <f>'Expense Input'!D62</f>
        <v>6500</v>
      </c>
      <c r="E256" s="63">
        <f>'Expense Input'!E62</f>
        <v>310</v>
      </c>
      <c r="F256" s="63" t="str">
        <f>'Expense Input'!F62</f>
        <v>Technology Support &amp; Service</v>
      </c>
      <c r="G256" s="64">
        <f>'Expense Input'!Q62</f>
        <v>0</v>
      </c>
      <c r="H256" s="64">
        <f>'Expense Input'!R62</f>
        <v>0</v>
      </c>
      <c r="I256" s="64">
        <f>'Expense Input'!S62</f>
        <v>0</v>
      </c>
      <c r="J256" s="129" t="str">
        <f t="shared" ref="J256:J258" si="939">IF(G256&gt;0.49,"*","")</f>
        <v/>
      </c>
      <c r="L256" s="132">
        <f t="shared" si="921"/>
        <v>0</v>
      </c>
      <c r="M256" s="132">
        <f t="shared" si="929"/>
        <v>0</v>
      </c>
      <c r="N256" s="130"/>
      <c r="O256" s="136"/>
      <c r="P256" s="136">
        <f t="shared" ref="P256:P258" si="940">IF(B256=490,G256,0)</f>
        <v>0</v>
      </c>
      <c r="Q256" s="136">
        <f t="shared" ref="Q256:Q258" si="941">IF(B256=410,H256,0)</f>
        <v>0</v>
      </c>
      <c r="R256" s="136">
        <f t="shared" ref="R256:R258" si="942">IF(B256=432,H256,0)</f>
        <v>0</v>
      </c>
      <c r="S256" s="136">
        <f t="shared" si="910"/>
        <v>0</v>
      </c>
      <c r="T256" s="136">
        <f t="shared" si="835"/>
        <v>0</v>
      </c>
      <c r="U256" s="136">
        <f t="shared" si="835"/>
        <v>0</v>
      </c>
      <c r="V256" s="136">
        <f t="shared" ref="V256:V258" si="943">IF(B256=360,I256,0)</f>
        <v>0</v>
      </c>
      <c r="W256" s="136">
        <f t="shared" ref="W256:W258" si="944">IF(B256=410,I256,0)</f>
        <v>0</v>
      </c>
      <c r="X256" s="130">
        <f t="shared" si="922"/>
        <v>0</v>
      </c>
      <c r="Z256" s="103">
        <f t="shared" si="931"/>
        <v>0</v>
      </c>
      <c r="AA256" s="103">
        <f t="shared" si="932"/>
        <v>0</v>
      </c>
      <c r="AB256" s="103">
        <f t="shared" si="932"/>
        <v>0</v>
      </c>
      <c r="AD256" s="103">
        <f t="shared" si="933"/>
        <v>0</v>
      </c>
      <c r="AE256" s="103">
        <f t="shared" si="934"/>
        <v>0</v>
      </c>
      <c r="AF256" s="103">
        <f t="shared" si="934"/>
        <v>0</v>
      </c>
      <c r="AH256" s="103">
        <f t="shared" si="935"/>
        <v>0</v>
      </c>
      <c r="AI256" s="103">
        <f t="shared" si="936"/>
        <v>0</v>
      </c>
      <c r="AJ256" s="103">
        <f t="shared" si="936"/>
        <v>0</v>
      </c>
      <c r="AL256" s="103">
        <f t="shared" si="937"/>
        <v>0</v>
      </c>
      <c r="AM256" s="103">
        <f t="shared" si="938"/>
        <v>0</v>
      </c>
      <c r="AN256" s="103">
        <f t="shared" si="938"/>
        <v>0</v>
      </c>
      <c r="AO256" s="165" t="s">
        <v>42</v>
      </c>
    </row>
    <row r="257" spans="1:41" x14ac:dyDescent="0.25">
      <c r="A257" s="131"/>
      <c r="B257" s="63">
        <f>'Expense Input'!B63</f>
        <v>100</v>
      </c>
      <c r="C257" s="63">
        <f>'Expense Input'!C63</f>
        <v>4000</v>
      </c>
      <c r="D257" s="63">
        <f>'Expense Input'!D63</f>
        <v>6500</v>
      </c>
      <c r="E257" s="63">
        <f>'Expense Input'!E63</f>
        <v>643</v>
      </c>
      <c r="F257" s="63" t="str">
        <f>'Expense Input'!F63</f>
        <v>Capitalized Hardware &amp; Technology Related-Infrastr</v>
      </c>
      <c r="G257" s="64">
        <f>'Expense Input'!Q63</f>
        <v>2462.1617973414759</v>
      </c>
      <c r="H257" s="64">
        <f>'Expense Input'!R63</f>
        <v>1314.5465253239104</v>
      </c>
      <c r="I257" s="64">
        <f>'Expense Input'!S63</f>
        <v>1147.6152720175655</v>
      </c>
      <c r="J257" s="129" t="str">
        <f t="shared" si="939"/>
        <v>*</v>
      </c>
      <c r="L257" s="132">
        <f t="shared" si="921"/>
        <v>0</v>
      </c>
      <c r="M257" s="132">
        <f t="shared" si="929"/>
        <v>2462.1617973414759</v>
      </c>
      <c r="N257" s="130"/>
      <c r="O257" s="136"/>
      <c r="P257" s="136">
        <f t="shared" si="940"/>
        <v>0</v>
      </c>
      <c r="Q257" s="136">
        <f t="shared" si="941"/>
        <v>0</v>
      </c>
      <c r="R257" s="136">
        <f t="shared" si="942"/>
        <v>0</v>
      </c>
      <c r="S257" s="136">
        <f t="shared" ref="S257:S258" si="945">IF(B257=432,I257,0)</f>
        <v>0</v>
      </c>
      <c r="T257" s="136">
        <f t="shared" ref="T257:T258" si="946">IF($B257=435,H257,0)</f>
        <v>0</v>
      </c>
      <c r="U257" s="136">
        <f t="shared" ref="U257:U258" si="947">IF($B257=435,I257,0)</f>
        <v>0</v>
      </c>
      <c r="V257" s="136">
        <f t="shared" si="943"/>
        <v>0</v>
      </c>
      <c r="W257" s="136">
        <f t="shared" si="944"/>
        <v>0</v>
      </c>
      <c r="X257" s="130">
        <f t="shared" si="922"/>
        <v>0</v>
      </c>
      <c r="Z257" s="103">
        <f t="shared" ref="Z257:Z258" si="948">AA257+AB257</f>
        <v>3076.1795682256766</v>
      </c>
      <c r="AA257" s="103">
        <f t="shared" ref="AA257:AA258" si="949">+H257/H$11*AA$11*Inf</f>
        <v>1438.3329897919118</v>
      </c>
      <c r="AB257" s="103">
        <f t="shared" ref="AB257:AB258" si="950">+I257/I$11*AB$11*Inf</f>
        <v>1637.8465784337648</v>
      </c>
      <c r="AD257" s="103">
        <f t="shared" ref="AD257:AD258" si="951">AE257+AF257</f>
        <v>3106.941363907933</v>
      </c>
      <c r="AE257" s="103">
        <f t="shared" ref="AE257:AE258" si="952">+AA257/AA$11*AE$11*Inf</f>
        <v>1452.7163196898309</v>
      </c>
      <c r="AF257" s="103">
        <f t="shared" ref="AF257:AF258" si="953">+AB257/AB$11*AF$11*Inf</f>
        <v>1654.2250442181023</v>
      </c>
      <c r="AH257" s="103">
        <f t="shared" ref="AH257:AH258" si="954">AI257+AJ257</f>
        <v>3379.3962219737059</v>
      </c>
      <c r="AI257" s="103">
        <f t="shared" ref="AI257:AI258" si="955">+AE257/AE$11*AI$11*Inf</f>
        <v>1580.1083661857083</v>
      </c>
      <c r="AJ257" s="103">
        <f t="shared" ref="AJ257:AJ258" si="956">+AF257/AF$11*AJ$11*Inf</f>
        <v>1799.2878557879976</v>
      </c>
      <c r="AL257" s="103">
        <f t="shared" ref="AL257:AL258" si="957">AM257+AN257</f>
        <v>3413.1901841934427</v>
      </c>
      <c r="AM257" s="103">
        <f t="shared" ref="AM257:AM258" si="958">+AI257/AI$11*AM$11*Inf</f>
        <v>1595.9094498475654</v>
      </c>
      <c r="AN257" s="103">
        <f t="shared" ref="AN257:AN258" si="959">+AJ257/AJ$11*AN$11*Inf</f>
        <v>1817.2807343458774</v>
      </c>
      <c r="AO257" s="165" t="s">
        <v>42</v>
      </c>
    </row>
    <row r="258" spans="1:41" hidden="1" x14ac:dyDescent="0.25">
      <c r="A258" s="131"/>
      <c r="B258" s="63">
        <f>'Expense Input'!B64</f>
        <v>493</v>
      </c>
      <c r="C258" s="63">
        <f>'Expense Input'!C64</f>
        <v>4000</v>
      </c>
      <c r="D258" s="63">
        <f>'Expense Input'!D64</f>
        <v>6500</v>
      </c>
      <c r="E258" s="63">
        <f>'Expense Input'!E64</f>
        <v>648</v>
      </c>
      <c r="F258" s="63" t="str">
        <f>'Expense Input'!F64</f>
        <v>Technology Related Capitalized Furniture</v>
      </c>
      <c r="G258" s="64">
        <f>'Expense Input'!Q64</f>
        <v>0</v>
      </c>
      <c r="H258" s="64">
        <f>'Expense Input'!R64</f>
        <v>0</v>
      </c>
      <c r="I258" s="64">
        <f>'Expense Input'!S64</f>
        <v>0</v>
      </c>
      <c r="J258" s="129" t="str">
        <f t="shared" si="939"/>
        <v/>
      </c>
      <c r="L258" s="132">
        <f t="shared" si="921"/>
        <v>0</v>
      </c>
      <c r="M258" s="132">
        <f t="shared" si="929"/>
        <v>0</v>
      </c>
      <c r="N258" s="130"/>
      <c r="O258" s="136"/>
      <c r="P258" s="136">
        <f t="shared" si="940"/>
        <v>0</v>
      </c>
      <c r="Q258" s="136">
        <f t="shared" si="941"/>
        <v>0</v>
      </c>
      <c r="R258" s="136">
        <f t="shared" si="942"/>
        <v>0</v>
      </c>
      <c r="S258" s="136">
        <f t="shared" si="945"/>
        <v>0</v>
      </c>
      <c r="T258" s="136">
        <f t="shared" si="946"/>
        <v>0</v>
      </c>
      <c r="U258" s="136">
        <f t="shared" si="947"/>
        <v>0</v>
      </c>
      <c r="V258" s="136">
        <f t="shared" si="943"/>
        <v>0</v>
      </c>
      <c r="W258" s="136">
        <f t="shared" si="944"/>
        <v>0</v>
      </c>
      <c r="X258" s="130">
        <f t="shared" si="922"/>
        <v>0</v>
      </c>
      <c r="Z258" s="103">
        <f t="shared" si="948"/>
        <v>0</v>
      </c>
      <c r="AA258" s="103">
        <f t="shared" si="949"/>
        <v>0</v>
      </c>
      <c r="AB258" s="103">
        <f t="shared" si="950"/>
        <v>0</v>
      </c>
      <c r="AD258" s="103">
        <f t="shared" si="951"/>
        <v>0</v>
      </c>
      <c r="AE258" s="103">
        <f t="shared" si="952"/>
        <v>0</v>
      </c>
      <c r="AF258" s="103">
        <f t="shared" si="953"/>
        <v>0</v>
      </c>
      <c r="AH258" s="103">
        <f t="shared" si="954"/>
        <v>0</v>
      </c>
      <c r="AI258" s="103">
        <f t="shared" si="955"/>
        <v>0</v>
      </c>
      <c r="AJ258" s="103">
        <f t="shared" si="956"/>
        <v>0</v>
      </c>
      <c r="AL258" s="103">
        <f t="shared" si="957"/>
        <v>0</v>
      </c>
      <c r="AM258" s="103">
        <f t="shared" si="958"/>
        <v>0</v>
      </c>
      <c r="AN258" s="103">
        <f t="shared" si="959"/>
        <v>0</v>
      </c>
      <c r="AO258" s="165" t="s">
        <v>42</v>
      </c>
    </row>
    <row r="259" spans="1:41" hidden="1" x14ac:dyDescent="0.25">
      <c r="A259" s="131"/>
      <c r="B259" s="63">
        <f>'Expense Input'!B65</f>
        <v>493</v>
      </c>
      <c r="C259" s="63">
        <f>'Expense Input'!C65</f>
        <v>4000</v>
      </c>
      <c r="D259" s="63">
        <f>'Expense Input'!D65</f>
        <v>6500</v>
      </c>
      <c r="E259" s="63">
        <f>'Expense Input'!E65</f>
        <v>690</v>
      </c>
      <c r="F259" s="63" t="str">
        <f>'Expense Input'!F65</f>
        <v>Software</v>
      </c>
      <c r="G259" s="64">
        <f>'Expense Input'!Q65</f>
        <v>0</v>
      </c>
      <c r="H259" s="64">
        <f>'Expense Input'!R65</f>
        <v>0</v>
      </c>
      <c r="I259" s="64">
        <f>'Expense Input'!S65</f>
        <v>0</v>
      </c>
      <c r="J259" s="129" t="str">
        <f t="shared" si="901"/>
        <v/>
      </c>
      <c r="L259" s="132">
        <f t="shared" si="844"/>
        <v>0</v>
      </c>
      <c r="M259" s="132">
        <f t="shared" si="929"/>
        <v>0</v>
      </c>
      <c r="N259" s="130"/>
      <c r="O259" s="136"/>
      <c r="P259" s="136">
        <f t="shared" si="915"/>
        <v>0</v>
      </c>
      <c r="Q259" s="136">
        <f t="shared" si="908"/>
        <v>0</v>
      </c>
      <c r="R259" s="136">
        <f t="shared" si="909"/>
        <v>0</v>
      </c>
      <c r="S259" s="136">
        <f t="shared" si="910"/>
        <v>0</v>
      </c>
      <c r="T259" s="136">
        <f t="shared" si="835"/>
        <v>0</v>
      </c>
      <c r="U259" s="136">
        <f t="shared" si="835"/>
        <v>0</v>
      </c>
      <c r="V259" s="136">
        <f t="shared" si="911"/>
        <v>0</v>
      </c>
      <c r="W259" s="136">
        <f t="shared" si="912"/>
        <v>0</v>
      </c>
      <c r="X259" s="130">
        <f t="shared" si="854"/>
        <v>0</v>
      </c>
      <c r="Z259" s="103">
        <f t="shared" si="931"/>
        <v>0</v>
      </c>
      <c r="AA259" s="103">
        <f t="shared" si="932"/>
        <v>0</v>
      </c>
      <c r="AB259" s="103">
        <f t="shared" si="932"/>
        <v>0</v>
      </c>
      <c r="AD259" s="103">
        <f t="shared" si="933"/>
        <v>0</v>
      </c>
      <c r="AE259" s="103">
        <f t="shared" si="934"/>
        <v>0</v>
      </c>
      <c r="AF259" s="103">
        <f t="shared" si="934"/>
        <v>0</v>
      </c>
      <c r="AH259" s="103">
        <f t="shared" si="935"/>
        <v>0</v>
      </c>
      <c r="AI259" s="103">
        <f t="shared" si="936"/>
        <v>0</v>
      </c>
      <c r="AJ259" s="103">
        <f t="shared" si="936"/>
        <v>0</v>
      </c>
      <c r="AL259" s="103">
        <f t="shared" si="937"/>
        <v>0</v>
      </c>
      <c r="AM259" s="103">
        <f t="shared" si="938"/>
        <v>0</v>
      </c>
      <c r="AN259" s="103">
        <f t="shared" si="938"/>
        <v>0</v>
      </c>
      <c r="AO259" s="165" t="s">
        <v>42</v>
      </c>
    </row>
    <row r="260" spans="1:41" ht="12" customHeight="1" x14ac:dyDescent="0.25">
      <c r="A260" s="131"/>
      <c r="B260" s="63"/>
      <c r="C260" s="63"/>
      <c r="D260" s="63"/>
      <c r="E260" s="63"/>
      <c r="F260" s="63"/>
      <c r="G260" s="65"/>
      <c r="H260" s="65"/>
      <c r="I260" s="65"/>
      <c r="J260" s="129" t="str">
        <f>IF(J261="*","*","")</f>
        <v>*</v>
      </c>
      <c r="L260" s="132">
        <f t="shared" si="844"/>
        <v>0</v>
      </c>
      <c r="M260" s="132">
        <f t="shared" si="929"/>
        <v>0</v>
      </c>
      <c r="N260" s="130"/>
      <c r="O260" s="136"/>
      <c r="P260" s="136">
        <f>IF(B260=432,G260,0)</f>
        <v>0</v>
      </c>
      <c r="Q260" s="136">
        <f t="shared" si="908"/>
        <v>0</v>
      </c>
      <c r="R260" s="136">
        <f t="shared" si="909"/>
        <v>0</v>
      </c>
      <c r="S260" s="136">
        <f t="shared" si="910"/>
        <v>0</v>
      </c>
      <c r="T260" s="136">
        <f t="shared" si="835"/>
        <v>0</v>
      </c>
      <c r="U260" s="136">
        <f t="shared" si="835"/>
        <v>0</v>
      </c>
      <c r="V260" s="136">
        <f t="shared" si="911"/>
        <v>0</v>
      </c>
      <c r="W260" s="136">
        <f t="shared" si="912"/>
        <v>0</v>
      </c>
      <c r="X260" s="130">
        <f t="shared" si="854"/>
        <v>0</v>
      </c>
      <c r="Z260" s="65"/>
      <c r="AA260" s="65"/>
      <c r="AB260" s="65"/>
      <c r="AD260" s="65"/>
      <c r="AE260" s="65"/>
      <c r="AF260" s="65"/>
      <c r="AH260" s="65"/>
      <c r="AI260" s="65"/>
      <c r="AJ260" s="65"/>
      <c r="AL260" s="65"/>
      <c r="AM260" s="65"/>
      <c r="AN260" s="65"/>
      <c r="AO260" s="165"/>
    </row>
    <row r="261" spans="1:41" x14ac:dyDescent="0.25">
      <c r="A261" s="131"/>
      <c r="F261" s="85" t="s">
        <v>72</v>
      </c>
      <c r="G261" s="86">
        <f>SUM(G248:G259)</f>
        <v>59205.009114341476</v>
      </c>
      <c r="H261" s="86">
        <f>SUM(H248:H259)</f>
        <v>35150.433475523911</v>
      </c>
      <c r="I261" s="86">
        <f>SUM(I248:I259)</f>
        <v>24054.575638817572</v>
      </c>
      <c r="J261" s="129" t="str">
        <f>IF(G261&gt;0.49,"*","")</f>
        <v>*</v>
      </c>
      <c r="L261" s="133">
        <f>SUM(L247:L260)</f>
        <v>52546.418516999998</v>
      </c>
      <c r="M261" s="133">
        <f>SUM(M247:M260)</f>
        <v>6658.5905973414765</v>
      </c>
      <c r="N261" s="130"/>
      <c r="O261" s="133"/>
      <c r="P261" s="133">
        <f t="shared" ref="P261:X261" si="960">SUM(P259:P259)</f>
        <v>0</v>
      </c>
      <c r="Q261" s="133">
        <f t="shared" si="960"/>
        <v>0</v>
      </c>
      <c r="R261" s="133">
        <f t="shared" ref="R261:V261" si="961">SUM(R259:R259)</f>
        <v>0</v>
      </c>
      <c r="S261" s="133">
        <f t="shared" ref="S261:U261" si="962">SUM(S259:S259)</f>
        <v>0</v>
      </c>
      <c r="T261" s="133">
        <f t="shared" si="962"/>
        <v>0</v>
      </c>
      <c r="U261" s="133">
        <f t="shared" si="962"/>
        <v>0</v>
      </c>
      <c r="V261" s="133">
        <f t="shared" si="961"/>
        <v>0</v>
      </c>
      <c r="W261" s="133">
        <f t="shared" si="960"/>
        <v>0</v>
      </c>
      <c r="X261" s="133">
        <f t="shared" si="960"/>
        <v>0</v>
      </c>
      <c r="Z261" s="86">
        <f>SUM(Z248:Z259)</f>
        <v>60317.20179949663</v>
      </c>
      <c r="AA261" s="86">
        <f>SUM(AA248:AA259)</f>
        <v>35300.162345375917</v>
      </c>
      <c r="AB261" s="86">
        <f>SUM(AB248:AB259)</f>
        <v>25017.039454120724</v>
      </c>
      <c r="AD261" s="86">
        <f>SUM(AD248:AD259)</f>
        <v>60920.3738174916</v>
      </c>
      <c r="AE261" s="86">
        <f>SUM(AE248:AE259)</f>
        <v>35653.163968829678</v>
      </c>
      <c r="AF261" s="86">
        <f>SUM(AF248:AF259)</f>
        <v>25267.209848661936</v>
      </c>
      <c r="AH261" s="86">
        <f>SUM(AH248:AH259)</f>
        <v>62180.606993695212</v>
      </c>
      <c r="AI261" s="86">
        <f>SUM(AI248:AI259)</f>
        <v>36320.724794649272</v>
      </c>
      <c r="AJ261" s="86">
        <f>SUM(AJ248:AJ259)</f>
        <v>25859.882199045933</v>
      </c>
      <c r="AL261" s="86">
        <f>SUM(AL248:AL259)</f>
        <v>62802.413063632164</v>
      </c>
      <c r="AM261" s="86">
        <f>SUM(AM248:AM259)</f>
        <v>36683.93204259577</v>
      </c>
      <c r="AN261" s="86">
        <f>SUM(AN248:AN259)</f>
        <v>26118.48102103639</v>
      </c>
      <c r="AO261" s="165"/>
    </row>
    <row r="262" spans="1:41" x14ac:dyDescent="0.25">
      <c r="A262" s="131"/>
      <c r="F262" s="79"/>
      <c r="J262" s="129" t="str">
        <f>IF(J261="*","*","")</f>
        <v>*</v>
      </c>
      <c r="L262" s="132">
        <f t="shared" si="844"/>
        <v>0</v>
      </c>
      <c r="M262" s="132">
        <f t="shared" ref="M262:M278" si="963">IF(E262&gt;299,G262,0)</f>
        <v>0</v>
      </c>
      <c r="N262" s="130"/>
      <c r="O262" s="136"/>
      <c r="P262" s="136">
        <f>IF(B262=432,G262,0)</f>
        <v>0</v>
      </c>
      <c r="Q262" s="136">
        <f t="shared" ref="Q262:Q278" si="964">IF(B262=410,H262,0)</f>
        <v>0</v>
      </c>
      <c r="R262" s="136">
        <f t="shared" ref="R262:R278" si="965">IF(B262=432,H262,0)</f>
        <v>0</v>
      </c>
      <c r="S262" s="136">
        <f t="shared" ref="S262:S278" si="966">IF(B262=432,I262,0)</f>
        <v>0</v>
      </c>
      <c r="T262" s="136">
        <f t="shared" si="835"/>
        <v>0</v>
      </c>
      <c r="U262" s="136">
        <f t="shared" si="835"/>
        <v>0</v>
      </c>
      <c r="V262" s="136">
        <f t="shared" ref="V262:V278" si="967">IF(B262=360,I262,0)</f>
        <v>0</v>
      </c>
      <c r="W262" s="136">
        <f t="shared" ref="W262:W278" si="968">IF(B262=410,I262,0)</f>
        <v>0</v>
      </c>
      <c r="X262" s="130">
        <f t="shared" si="854"/>
        <v>0</v>
      </c>
      <c r="AO262" s="165"/>
    </row>
    <row r="263" spans="1:41" x14ac:dyDescent="0.25">
      <c r="A263" s="131"/>
      <c r="B263" s="63">
        <f>'Expense Input'!B66</f>
        <v>100</v>
      </c>
      <c r="C263" s="63">
        <f>'Expense Input'!C66</f>
        <v>4000</v>
      </c>
      <c r="D263" s="63">
        <f>'Expense Input'!D66</f>
        <v>7100</v>
      </c>
      <c r="E263" s="63">
        <f>'Expense Input'!E66</f>
        <v>310</v>
      </c>
      <c r="F263" s="63" t="str">
        <f>'Expense Input'!F66</f>
        <v>Legal and Audit Expense</v>
      </c>
      <c r="G263" s="64">
        <f>'Expense Input'!Q66</f>
        <v>111937.47853333334</v>
      </c>
      <c r="H263" s="64">
        <f>'Expense Input'!R66</f>
        <v>42588.885466666667</v>
      </c>
      <c r="I263" s="64">
        <f>'Expense Input'!S66</f>
        <v>69348.593066666668</v>
      </c>
      <c r="J263" s="129" t="str">
        <f t="shared" si="901"/>
        <v>*</v>
      </c>
      <c r="L263" s="132">
        <f t="shared" si="844"/>
        <v>0</v>
      </c>
      <c r="M263" s="132">
        <f t="shared" si="963"/>
        <v>111937.47853333334</v>
      </c>
      <c r="N263" s="130"/>
      <c r="O263" s="136"/>
      <c r="P263" s="136">
        <f t="shared" ref="P263:P277" si="969">IF(B263=490,G263,0)</f>
        <v>0</v>
      </c>
      <c r="Q263" s="136">
        <f t="shared" si="964"/>
        <v>0</v>
      </c>
      <c r="R263" s="136">
        <f t="shared" si="965"/>
        <v>0</v>
      </c>
      <c r="S263" s="136">
        <f t="shared" si="966"/>
        <v>0</v>
      </c>
      <c r="T263" s="136">
        <f t="shared" si="835"/>
        <v>0</v>
      </c>
      <c r="U263" s="136">
        <f t="shared" si="835"/>
        <v>0</v>
      </c>
      <c r="V263" s="136">
        <f t="shared" si="967"/>
        <v>0</v>
      </c>
      <c r="W263" s="136">
        <f t="shared" si="968"/>
        <v>0</v>
      </c>
      <c r="X263" s="130">
        <f t="shared" si="854"/>
        <v>0</v>
      </c>
      <c r="Z263" s="64">
        <f>AA263+AB263</f>
        <v>113056.85331866666</v>
      </c>
      <c r="AA263" s="64">
        <f t="shared" ref="AA263:AB268" si="970">+H263*Inf</f>
        <v>43014.774321333331</v>
      </c>
      <c r="AB263" s="64">
        <f t="shared" si="970"/>
        <v>70042.07899733333</v>
      </c>
      <c r="AD263" s="64">
        <f>AE263+AF263</f>
        <v>114187.42185185332</v>
      </c>
      <c r="AE263" s="64">
        <f t="shared" ref="AE263:AF268" si="971">+AA263*Inf</f>
        <v>43444.922064546663</v>
      </c>
      <c r="AF263" s="64">
        <f t="shared" si="971"/>
        <v>70742.49978730666</v>
      </c>
      <c r="AH263" s="64">
        <f>AI263+AJ263</f>
        <v>115329.29607037186</v>
      </c>
      <c r="AI263" s="64">
        <f t="shared" ref="AI263:AJ268" si="972">+AE263*Inf</f>
        <v>43879.37128519213</v>
      </c>
      <c r="AJ263" s="64">
        <f t="shared" si="972"/>
        <v>71449.924785179726</v>
      </c>
      <c r="AL263" s="64">
        <f>AM263+AN263</f>
        <v>116482.58903107556</v>
      </c>
      <c r="AM263" s="64">
        <f t="shared" ref="AM263:AN268" si="973">+AI263*Inf</f>
        <v>44318.164998044049</v>
      </c>
      <c r="AN263" s="64">
        <f t="shared" si="973"/>
        <v>72164.424033031522</v>
      </c>
      <c r="AO263" s="165" t="s">
        <v>35</v>
      </c>
    </row>
    <row r="264" spans="1:41" x14ac:dyDescent="0.25">
      <c r="A264" s="131"/>
      <c r="B264" s="63">
        <f>'Expense Input'!B67</f>
        <v>495</v>
      </c>
      <c r="C264" s="63">
        <f>'Expense Input'!C67</f>
        <v>4000</v>
      </c>
      <c r="D264" s="63">
        <f>'Expense Input'!D67</f>
        <v>7100</v>
      </c>
      <c r="E264" s="63">
        <f>'Expense Input'!E67</f>
        <v>310</v>
      </c>
      <c r="F264" s="63" t="str">
        <f>'Expense Input'!F67</f>
        <v>Contracted Services</v>
      </c>
      <c r="G264" s="64">
        <f>'Expense Input'!Q67</f>
        <v>11455.9856</v>
      </c>
      <c r="H264" s="64">
        <f>'Expense Input'!R67</f>
        <v>0</v>
      </c>
      <c r="I264" s="64">
        <f>'Expense Input'!S67</f>
        <v>11455.9856</v>
      </c>
      <c r="J264" s="129" t="str">
        <f t="shared" ref="J264:J265" si="974">IF(G264&gt;0.49,"*","")</f>
        <v>*</v>
      </c>
      <c r="L264" s="132">
        <f t="shared" ref="L264:L265" si="975">IF(E264&lt;300,G264,0)</f>
        <v>0</v>
      </c>
      <c r="M264" s="132">
        <f t="shared" ref="M264:M265" si="976">IF(E264&gt;299,G264,0)</f>
        <v>11455.9856</v>
      </c>
      <c r="N264" s="130"/>
      <c r="O264" s="136"/>
      <c r="P264" s="136">
        <f t="shared" ref="P264:P265" si="977">IF(B264=490,G264,0)</f>
        <v>0</v>
      </c>
      <c r="Q264" s="136">
        <f t="shared" ref="Q264:Q265" si="978">IF(B264=410,H264,0)</f>
        <v>0</v>
      </c>
      <c r="R264" s="136">
        <f t="shared" ref="R264:R265" si="979">IF(B264=432,H264,0)</f>
        <v>0</v>
      </c>
      <c r="S264" s="136">
        <f t="shared" si="966"/>
        <v>0</v>
      </c>
      <c r="T264" s="136">
        <f t="shared" si="835"/>
        <v>0</v>
      </c>
      <c r="U264" s="136">
        <f t="shared" si="835"/>
        <v>0</v>
      </c>
      <c r="V264" s="136">
        <f t="shared" ref="V264:V265" si="980">IF(B264=360,I264,0)</f>
        <v>0</v>
      </c>
      <c r="W264" s="136">
        <f t="shared" ref="W264:W265" si="981">IF(B264=410,I264,0)</f>
        <v>0</v>
      </c>
      <c r="X264" s="130">
        <f t="shared" ref="X264:X265" si="982">+W264+Q264-O264</f>
        <v>0</v>
      </c>
      <c r="Z264" s="64">
        <f t="shared" ref="Z264:Z271" si="983">AA264+AB264</f>
        <v>11570.545456</v>
      </c>
      <c r="AA264" s="64">
        <f t="shared" si="970"/>
        <v>0</v>
      </c>
      <c r="AB264" s="64">
        <f t="shared" si="970"/>
        <v>11570.545456</v>
      </c>
      <c r="AD264" s="64">
        <f t="shared" ref="AD264:AD271" si="984">AE264+AF264</f>
        <v>11686.25091056</v>
      </c>
      <c r="AE264" s="64">
        <f t="shared" si="971"/>
        <v>0</v>
      </c>
      <c r="AF264" s="64">
        <f t="shared" si="971"/>
        <v>11686.25091056</v>
      </c>
      <c r="AH264" s="64">
        <f t="shared" ref="AH264:AH271" si="985">AI264+AJ264</f>
        <v>11803.1134196656</v>
      </c>
      <c r="AI264" s="64">
        <f t="shared" si="972"/>
        <v>0</v>
      </c>
      <c r="AJ264" s="64">
        <f t="shared" si="972"/>
        <v>11803.1134196656</v>
      </c>
      <c r="AL264" s="64">
        <f t="shared" ref="AL264:AL271" si="986">AM264+AN264</f>
        <v>11921.144553862256</v>
      </c>
      <c r="AM264" s="64">
        <f t="shared" si="973"/>
        <v>0</v>
      </c>
      <c r="AN264" s="64">
        <f t="shared" si="973"/>
        <v>11921.144553862256</v>
      </c>
      <c r="AO264" s="165" t="s">
        <v>35</v>
      </c>
    </row>
    <row r="265" spans="1:41" s="129" customFormat="1" hidden="1" x14ac:dyDescent="0.25">
      <c r="A265" s="131"/>
      <c r="B265" s="63">
        <f>'Expense Input'!B68</f>
        <v>100</v>
      </c>
      <c r="C265" s="63">
        <f>'Expense Input'!C68</f>
        <v>4000</v>
      </c>
      <c r="D265" s="63">
        <f>'Expense Input'!D68</f>
        <v>7100</v>
      </c>
      <c r="E265" s="63">
        <f>'Expense Input'!E68</f>
        <v>320</v>
      </c>
      <c r="F265" s="63" t="str">
        <f>'Expense Input'!F68</f>
        <v>Insurance</v>
      </c>
      <c r="G265" s="64">
        <f>'Expense Input'!Q68</f>
        <v>0</v>
      </c>
      <c r="H265" s="64">
        <f>'Expense Input'!R68</f>
        <v>0</v>
      </c>
      <c r="I265" s="64">
        <f>'Expense Input'!S68</f>
        <v>0</v>
      </c>
      <c r="J265" s="129" t="str">
        <f t="shared" si="974"/>
        <v/>
      </c>
      <c r="L265" s="132">
        <f t="shared" si="975"/>
        <v>0</v>
      </c>
      <c r="M265" s="132">
        <f t="shared" si="976"/>
        <v>0</v>
      </c>
      <c r="N265" s="130"/>
      <c r="O265" s="136"/>
      <c r="P265" s="136">
        <f t="shared" si="977"/>
        <v>0</v>
      </c>
      <c r="Q265" s="136">
        <f t="shared" si="978"/>
        <v>0</v>
      </c>
      <c r="R265" s="136">
        <f t="shared" si="979"/>
        <v>0</v>
      </c>
      <c r="S265" s="136">
        <f t="shared" ref="S265" si="987">IF(B265=432,I265,0)</f>
        <v>0</v>
      </c>
      <c r="T265" s="136">
        <f t="shared" si="835"/>
        <v>0</v>
      </c>
      <c r="U265" s="136">
        <f t="shared" si="835"/>
        <v>0</v>
      </c>
      <c r="V265" s="136">
        <f t="shared" si="980"/>
        <v>0</v>
      </c>
      <c r="W265" s="136">
        <f t="shared" si="981"/>
        <v>0</v>
      </c>
      <c r="X265" s="130">
        <f t="shared" si="982"/>
        <v>0</v>
      </c>
      <c r="Z265" s="64">
        <f t="shared" si="983"/>
        <v>0</v>
      </c>
      <c r="AA265" s="64">
        <f t="shared" si="970"/>
        <v>0</v>
      </c>
      <c r="AB265" s="64">
        <f t="shared" si="970"/>
        <v>0</v>
      </c>
      <c r="AC265" s="77"/>
      <c r="AD265" s="64">
        <f t="shared" si="984"/>
        <v>0</v>
      </c>
      <c r="AE265" s="64">
        <f t="shared" si="971"/>
        <v>0</v>
      </c>
      <c r="AF265" s="64">
        <f t="shared" si="971"/>
        <v>0</v>
      </c>
      <c r="AG265" s="77"/>
      <c r="AH265" s="64">
        <f t="shared" si="985"/>
        <v>0</v>
      </c>
      <c r="AI265" s="64">
        <f t="shared" si="972"/>
        <v>0</v>
      </c>
      <c r="AJ265" s="64">
        <f t="shared" si="972"/>
        <v>0</v>
      </c>
      <c r="AK265" s="77"/>
      <c r="AL265" s="64">
        <f t="shared" si="986"/>
        <v>0</v>
      </c>
      <c r="AM265" s="64">
        <f t="shared" si="973"/>
        <v>0</v>
      </c>
      <c r="AN265" s="64">
        <f t="shared" si="973"/>
        <v>0</v>
      </c>
      <c r="AO265" s="165" t="s">
        <v>35</v>
      </c>
    </row>
    <row r="266" spans="1:41" s="1" customFormat="1" x14ac:dyDescent="0.25">
      <c r="A266" s="131"/>
      <c r="B266" s="63">
        <f>'Expense Input'!B69</f>
        <v>100</v>
      </c>
      <c r="C266" s="63">
        <f>'Expense Input'!C69</f>
        <v>4000</v>
      </c>
      <c r="D266" s="63">
        <f>'Expense Input'!D69</f>
        <v>7100</v>
      </c>
      <c r="E266" s="63">
        <f>'Expense Input'!E69</f>
        <v>330</v>
      </c>
      <c r="F266" s="63" t="str">
        <f>'Expense Input'!F69</f>
        <v>Travel/Conferences/Workshops</v>
      </c>
      <c r="G266" s="64">
        <f>'Expense Input'!Q69</f>
        <v>103.19506666666666</v>
      </c>
      <c r="H266" s="64">
        <f>'Expense Input'!R69</f>
        <v>51.590800000000009</v>
      </c>
      <c r="I266" s="64">
        <f>'Expense Input'!S69</f>
        <v>51.604266666666661</v>
      </c>
      <c r="J266" s="129" t="str">
        <f t="shared" si="901"/>
        <v>*</v>
      </c>
      <c r="K266" s="129"/>
      <c r="L266" s="132">
        <f t="shared" si="844"/>
        <v>0</v>
      </c>
      <c r="M266" s="132">
        <f t="shared" si="963"/>
        <v>103.19506666666666</v>
      </c>
      <c r="N266" s="130"/>
      <c r="O266" s="136"/>
      <c r="P266" s="136">
        <f t="shared" si="969"/>
        <v>0</v>
      </c>
      <c r="Q266" s="136">
        <f t="shared" si="964"/>
        <v>0</v>
      </c>
      <c r="R266" s="136">
        <f t="shared" si="965"/>
        <v>0</v>
      </c>
      <c r="S266" s="136">
        <f t="shared" si="966"/>
        <v>0</v>
      </c>
      <c r="T266" s="136">
        <f t="shared" si="835"/>
        <v>0</v>
      </c>
      <c r="U266" s="136">
        <f t="shared" si="835"/>
        <v>0</v>
      </c>
      <c r="V266" s="136">
        <f t="shared" si="967"/>
        <v>0</v>
      </c>
      <c r="W266" s="136">
        <f t="shared" si="968"/>
        <v>0</v>
      </c>
      <c r="X266" s="130">
        <f t="shared" si="854"/>
        <v>0</v>
      </c>
      <c r="Y266" s="129"/>
      <c r="Z266" s="64">
        <f t="shared" si="983"/>
        <v>104.22701733333334</v>
      </c>
      <c r="AA266" s="64">
        <f t="shared" si="970"/>
        <v>52.106708000000012</v>
      </c>
      <c r="AB266" s="64">
        <f t="shared" si="970"/>
        <v>52.120309333333324</v>
      </c>
      <c r="AC266" s="77"/>
      <c r="AD266" s="64">
        <f t="shared" si="984"/>
        <v>105.26928750666667</v>
      </c>
      <c r="AE266" s="64">
        <f t="shared" si="971"/>
        <v>52.627775080000013</v>
      </c>
      <c r="AF266" s="64">
        <f t="shared" si="971"/>
        <v>52.641512426666658</v>
      </c>
      <c r="AG266" s="77"/>
      <c r="AH266" s="64">
        <f t="shared" si="985"/>
        <v>106.32198038173334</v>
      </c>
      <c r="AI266" s="64">
        <f t="shared" si="972"/>
        <v>53.154052830800012</v>
      </c>
      <c r="AJ266" s="64">
        <f t="shared" si="972"/>
        <v>53.167927550933328</v>
      </c>
      <c r="AK266" s="77"/>
      <c r="AL266" s="64">
        <f t="shared" si="986"/>
        <v>107.38520018555067</v>
      </c>
      <c r="AM266" s="64">
        <f t="shared" si="973"/>
        <v>53.685593359108012</v>
      </c>
      <c r="AN266" s="64">
        <f t="shared" si="973"/>
        <v>53.699606826442661</v>
      </c>
      <c r="AO266" s="165" t="s">
        <v>35</v>
      </c>
    </row>
    <row r="267" spans="1:41" x14ac:dyDescent="0.25">
      <c r="A267" s="131"/>
      <c r="B267" s="63">
        <f>'Expense Input'!B70</f>
        <v>100</v>
      </c>
      <c r="C267" s="63">
        <f>'Expense Input'!C70</f>
        <v>4000</v>
      </c>
      <c r="D267" s="63">
        <f>'Expense Input'!D70</f>
        <v>7100</v>
      </c>
      <c r="E267" s="63">
        <f>'Expense Input'!E70</f>
        <v>510</v>
      </c>
      <c r="F267" s="63" t="str">
        <f>'Expense Input'!F70</f>
        <v>Supplies</v>
      </c>
      <c r="G267" s="64">
        <f>'Expense Input'!Q70</f>
        <v>23.203066666666668</v>
      </c>
      <c r="H267" s="64">
        <f>'Expense Input'!R70</f>
        <v>23.203066666666668</v>
      </c>
      <c r="I267" s="64">
        <f>'Expense Input'!S70</f>
        <v>0</v>
      </c>
      <c r="J267" s="129" t="str">
        <f t="shared" si="901"/>
        <v>*</v>
      </c>
      <c r="L267" s="132">
        <f t="shared" si="844"/>
        <v>0</v>
      </c>
      <c r="M267" s="132">
        <f t="shared" si="963"/>
        <v>23.203066666666668</v>
      </c>
      <c r="N267" s="130"/>
      <c r="O267" s="136"/>
      <c r="P267" s="136">
        <f t="shared" si="969"/>
        <v>0</v>
      </c>
      <c r="Q267" s="136">
        <f t="shared" si="964"/>
        <v>0</v>
      </c>
      <c r="R267" s="136">
        <f t="shared" si="965"/>
        <v>0</v>
      </c>
      <c r="S267" s="136">
        <f t="shared" si="966"/>
        <v>0</v>
      </c>
      <c r="T267" s="136">
        <f t="shared" si="835"/>
        <v>0</v>
      </c>
      <c r="U267" s="136">
        <f t="shared" si="835"/>
        <v>0</v>
      </c>
      <c r="V267" s="136">
        <f t="shared" si="967"/>
        <v>0</v>
      </c>
      <c r="W267" s="136">
        <f t="shared" si="968"/>
        <v>0</v>
      </c>
      <c r="X267" s="130">
        <f t="shared" si="854"/>
        <v>0</v>
      </c>
      <c r="Z267" s="64">
        <f t="shared" si="983"/>
        <v>23.435097333333335</v>
      </c>
      <c r="AA267" s="64">
        <f t="shared" si="970"/>
        <v>23.435097333333335</v>
      </c>
      <c r="AB267" s="64">
        <f t="shared" si="970"/>
        <v>0</v>
      </c>
      <c r="AD267" s="64">
        <f t="shared" si="984"/>
        <v>23.66944830666667</v>
      </c>
      <c r="AE267" s="64">
        <f t="shared" si="971"/>
        <v>23.66944830666667</v>
      </c>
      <c r="AF267" s="64">
        <f t="shared" si="971"/>
        <v>0</v>
      </c>
      <c r="AH267" s="64">
        <f t="shared" si="985"/>
        <v>23.906142789733337</v>
      </c>
      <c r="AI267" s="64">
        <f t="shared" si="972"/>
        <v>23.906142789733337</v>
      </c>
      <c r="AJ267" s="64">
        <f t="shared" si="972"/>
        <v>0</v>
      </c>
      <c r="AL267" s="64">
        <f t="shared" si="986"/>
        <v>24.14520421763067</v>
      </c>
      <c r="AM267" s="64">
        <f t="shared" si="973"/>
        <v>24.14520421763067</v>
      </c>
      <c r="AN267" s="64">
        <f t="shared" si="973"/>
        <v>0</v>
      </c>
      <c r="AO267" s="165" t="s">
        <v>35</v>
      </c>
    </row>
    <row r="268" spans="1:41" x14ac:dyDescent="0.25">
      <c r="A268" s="131"/>
      <c r="B268" s="63">
        <f>'Expense Input'!B71</f>
        <v>100</v>
      </c>
      <c r="C268" s="63">
        <f>'Expense Input'!C71</f>
        <v>4000</v>
      </c>
      <c r="D268" s="63">
        <f>'Expense Input'!D71</f>
        <v>7100</v>
      </c>
      <c r="E268" s="63">
        <f>'Expense Input'!E71</f>
        <v>730</v>
      </c>
      <c r="F268" s="63" t="str">
        <f>'Expense Input'!F71</f>
        <v>Dues and Fees</v>
      </c>
      <c r="G268" s="64">
        <f>'Expense Input'!Q71</f>
        <v>3983.6150666666672</v>
      </c>
      <c r="H268" s="64">
        <f>'Expense Input'!R71</f>
        <v>2157.8717333333339</v>
      </c>
      <c r="I268" s="64">
        <f>'Expense Input'!S71</f>
        <v>1825.7433333333333</v>
      </c>
      <c r="J268" s="129" t="str">
        <f t="shared" si="901"/>
        <v>*</v>
      </c>
      <c r="L268" s="132">
        <f t="shared" si="844"/>
        <v>0</v>
      </c>
      <c r="M268" s="132">
        <f t="shared" si="963"/>
        <v>3983.6150666666672</v>
      </c>
      <c r="N268" s="130"/>
      <c r="O268" s="136"/>
      <c r="P268" s="136">
        <f t="shared" si="969"/>
        <v>0</v>
      </c>
      <c r="Q268" s="136">
        <f t="shared" si="964"/>
        <v>0</v>
      </c>
      <c r="R268" s="136">
        <f t="shared" si="965"/>
        <v>0</v>
      </c>
      <c r="S268" s="136">
        <f t="shared" si="966"/>
        <v>0</v>
      </c>
      <c r="T268" s="136">
        <f t="shared" si="835"/>
        <v>0</v>
      </c>
      <c r="U268" s="136">
        <f t="shared" si="835"/>
        <v>0</v>
      </c>
      <c r="V268" s="136">
        <f t="shared" si="967"/>
        <v>0</v>
      </c>
      <c r="W268" s="136">
        <f t="shared" si="968"/>
        <v>0</v>
      </c>
      <c r="X268" s="130">
        <f t="shared" si="854"/>
        <v>0</v>
      </c>
      <c r="Z268" s="64">
        <f t="shared" si="983"/>
        <v>4023.4512173333342</v>
      </c>
      <c r="AA268" s="64">
        <f t="shared" si="970"/>
        <v>2179.4504506666672</v>
      </c>
      <c r="AB268" s="64">
        <f t="shared" si="970"/>
        <v>1844.0007666666668</v>
      </c>
      <c r="AD268" s="64">
        <f t="shared" si="984"/>
        <v>4063.6857295066675</v>
      </c>
      <c r="AE268" s="64">
        <f t="shared" si="971"/>
        <v>2201.2449551733339</v>
      </c>
      <c r="AF268" s="64">
        <f t="shared" si="971"/>
        <v>1862.4407743333334</v>
      </c>
      <c r="AH268" s="64">
        <f t="shared" si="985"/>
        <v>4104.3225868017344</v>
      </c>
      <c r="AI268" s="64">
        <f t="shared" si="972"/>
        <v>2223.2574047250673</v>
      </c>
      <c r="AJ268" s="64">
        <f t="shared" si="972"/>
        <v>1881.0651820766668</v>
      </c>
      <c r="AL268" s="64">
        <f t="shared" si="986"/>
        <v>4145.3658126697519</v>
      </c>
      <c r="AM268" s="64">
        <f t="shared" si="973"/>
        <v>2245.489978772318</v>
      </c>
      <c r="AN268" s="64">
        <f t="shared" si="973"/>
        <v>1899.8758338974335</v>
      </c>
      <c r="AO268" s="165" t="s">
        <v>35</v>
      </c>
    </row>
    <row r="269" spans="1:41" x14ac:dyDescent="0.25">
      <c r="A269" s="131"/>
      <c r="B269" s="63">
        <f>'Expense Input'!B72</f>
        <v>100</v>
      </c>
      <c r="C269" s="63">
        <f>'Expense Input'!C72</f>
        <v>4000</v>
      </c>
      <c r="D269" s="63">
        <f>'Expense Input'!D72</f>
        <v>7100</v>
      </c>
      <c r="E269" s="63">
        <f>'Expense Input'!E72</f>
        <v>790</v>
      </c>
      <c r="F269" s="63" t="str">
        <f>'Expense Input'!F72</f>
        <v>District Admin Fees</v>
      </c>
      <c r="G269" s="64">
        <f>'Expense Input'!Q72</f>
        <v>172792.52500000002</v>
      </c>
      <c r="H269" s="64">
        <f>'Expense Input'!R72</f>
        <v>93320.625</v>
      </c>
      <c r="I269" s="64">
        <f>'Expense Input'!S72</f>
        <v>79471.900000000009</v>
      </c>
      <c r="J269" s="129" t="str">
        <f t="shared" si="901"/>
        <v>*</v>
      </c>
      <c r="L269" s="132">
        <f t="shared" si="844"/>
        <v>0</v>
      </c>
      <c r="M269" s="132">
        <f t="shared" si="963"/>
        <v>172792.52500000002</v>
      </c>
      <c r="N269" s="130"/>
      <c r="O269" s="136"/>
      <c r="P269" s="136">
        <f t="shared" si="969"/>
        <v>0</v>
      </c>
      <c r="Q269" s="136">
        <f t="shared" si="964"/>
        <v>0</v>
      </c>
      <c r="R269" s="136">
        <f t="shared" si="965"/>
        <v>0</v>
      </c>
      <c r="S269" s="136">
        <f t="shared" si="966"/>
        <v>0</v>
      </c>
      <c r="T269" s="136">
        <f t="shared" si="835"/>
        <v>0</v>
      </c>
      <c r="U269" s="136">
        <f t="shared" si="835"/>
        <v>0</v>
      </c>
      <c r="V269" s="136">
        <f t="shared" si="967"/>
        <v>0</v>
      </c>
      <c r="W269" s="136">
        <f t="shared" si="968"/>
        <v>0</v>
      </c>
      <c r="X269" s="130">
        <f t="shared" si="854"/>
        <v>0</v>
      </c>
      <c r="Z269" s="64">
        <f t="shared" si="983"/>
        <v>181500.15625</v>
      </c>
      <c r="AA269" s="64">
        <f>AA$15</f>
        <v>94253.831249999988</v>
      </c>
      <c r="AB269" s="64">
        <f>AB$15</f>
        <v>87246.325000000012</v>
      </c>
      <c r="AD269" s="64">
        <f t="shared" si="984"/>
        <v>183315.15781250002</v>
      </c>
      <c r="AE269" s="64">
        <f>AE$15</f>
        <v>95196.369562499996</v>
      </c>
      <c r="AF269" s="64">
        <f>AF$15</f>
        <v>88118.788250000012</v>
      </c>
      <c r="AH269" s="64">
        <f t="shared" si="985"/>
        <v>185148.30939062501</v>
      </c>
      <c r="AI269" s="64">
        <f>AI$15</f>
        <v>96148.333258125</v>
      </c>
      <c r="AJ269" s="64">
        <f>AJ$15</f>
        <v>88999.976132500015</v>
      </c>
      <c r="AL269" s="64">
        <f t="shared" si="986"/>
        <v>186999.79248453127</v>
      </c>
      <c r="AM269" s="64">
        <f>AM$15</f>
        <v>97109.81659070625</v>
      </c>
      <c r="AN269" s="64">
        <f>AN$15</f>
        <v>89889.975893825016</v>
      </c>
      <c r="AO269" s="165" t="s">
        <v>73</v>
      </c>
    </row>
    <row r="270" spans="1:41" hidden="1" x14ac:dyDescent="0.25">
      <c r="A270" s="131"/>
      <c r="B270" s="63">
        <f>'Expense Input'!B73</f>
        <v>100</v>
      </c>
      <c r="C270" s="63">
        <f>'Expense Input'!C73</f>
        <v>4000</v>
      </c>
      <c r="D270" s="63">
        <f>'Expense Input'!D73</f>
        <v>7100</v>
      </c>
      <c r="E270" s="63">
        <f>'Expense Input'!E73</f>
        <v>792</v>
      </c>
      <c r="F270" s="63" t="str">
        <f>'Expense Input'!F73</f>
        <v>Miscellaneous Expense</v>
      </c>
      <c r="G270" s="64">
        <f>'Expense Input'!Q73</f>
        <v>0</v>
      </c>
      <c r="H270" s="64">
        <f>'Expense Input'!R73</f>
        <v>0</v>
      </c>
      <c r="I270" s="64">
        <f>'Expense Input'!S73</f>
        <v>0</v>
      </c>
      <c r="J270" s="129" t="str">
        <f>IF(G270&gt;0.49,"*","")</f>
        <v/>
      </c>
      <c r="L270" s="132">
        <f t="shared" si="844"/>
        <v>0</v>
      </c>
      <c r="M270" s="132">
        <f t="shared" si="963"/>
        <v>0</v>
      </c>
      <c r="N270" s="130"/>
      <c r="O270" s="136"/>
      <c r="P270" s="136">
        <f t="shared" si="969"/>
        <v>0</v>
      </c>
      <c r="Q270" s="136">
        <f t="shared" si="964"/>
        <v>0</v>
      </c>
      <c r="R270" s="136">
        <f t="shared" si="965"/>
        <v>0</v>
      </c>
      <c r="S270" s="136">
        <f t="shared" si="966"/>
        <v>0</v>
      </c>
      <c r="T270" s="136">
        <f t="shared" si="835"/>
        <v>0</v>
      </c>
      <c r="U270" s="136">
        <f t="shared" si="835"/>
        <v>0</v>
      </c>
      <c r="V270" s="136">
        <f t="shared" si="967"/>
        <v>0</v>
      </c>
      <c r="W270" s="136">
        <f t="shared" si="968"/>
        <v>0</v>
      </c>
      <c r="X270" s="130">
        <f t="shared" si="854"/>
        <v>0</v>
      </c>
      <c r="Z270" s="64">
        <f t="shared" si="983"/>
        <v>0</v>
      </c>
      <c r="AA270" s="64">
        <f>+H270*Inf</f>
        <v>0</v>
      </c>
      <c r="AB270" s="64">
        <f>+I270*Inf</f>
        <v>0</v>
      </c>
      <c r="AD270" s="64">
        <f t="shared" si="984"/>
        <v>0</v>
      </c>
      <c r="AE270" s="64">
        <f>+AA270*Inf</f>
        <v>0</v>
      </c>
      <c r="AF270" s="64">
        <f>+AB270*Inf</f>
        <v>0</v>
      </c>
      <c r="AH270" s="64">
        <f t="shared" si="985"/>
        <v>0</v>
      </c>
      <c r="AI270" s="64">
        <f>+AE270*Inf</f>
        <v>0</v>
      </c>
      <c r="AJ270" s="64">
        <f>+AF270*Inf</f>
        <v>0</v>
      </c>
      <c r="AL270" s="64">
        <f t="shared" si="986"/>
        <v>0</v>
      </c>
      <c r="AM270" s="64">
        <f>+AI270*Inf</f>
        <v>0</v>
      </c>
      <c r="AN270" s="64">
        <f>+AJ270*Inf</f>
        <v>0</v>
      </c>
      <c r="AO270" s="165" t="s">
        <v>35</v>
      </c>
    </row>
    <row r="271" spans="1:41" s="1" customFormat="1" ht="13.2" customHeight="1" x14ac:dyDescent="0.25">
      <c r="A271" s="131"/>
      <c r="B271" s="63">
        <f>'Expense Input'!B74</f>
        <v>100</v>
      </c>
      <c r="C271" s="63">
        <f>'Expense Input'!C74</f>
        <v>4000</v>
      </c>
      <c r="D271" s="63">
        <f>'Expense Input'!D74</f>
        <v>7100</v>
      </c>
      <c r="E271" s="63">
        <f>'Expense Input'!E74</f>
        <v>795</v>
      </c>
      <c r="F271" s="63" t="str">
        <f>'Expense Input'!F74</f>
        <v>Bank Charges</v>
      </c>
      <c r="G271" s="64">
        <f>'Expense Input'!Q74</f>
        <v>449.78666666666675</v>
      </c>
      <c r="H271" s="64">
        <f>'Expense Input'!R74</f>
        <v>127.16573333333335</v>
      </c>
      <c r="I271" s="64">
        <f>'Expense Input'!S74</f>
        <v>322.62093333333337</v>
      </c>
      <c r="J271" s="129" t="str">
        <f>IF(G271&gt;0.49,"*","")</f>
        <v>*</v>
      </c>
      <c r="K271" s="129"/>
      <c r="L271" s="132">
        <f t="shared" si="844"/>
        <v>0</v>
      </c>
      <c r="M271" s="132">
        <f t="shared" si="963"/>
        <v>449.78666666666675</v>
      </c>
      <c r="N271" s="130"/>
      <c r="O271" s="136"/>
      <c r="P271" s="136">
        <f t="shared" si="969"/>
        <v>0</v>
      </c>
      <c r="Q271" s="136">
        <f t="shared" si="964"/>
        <v>0</v>
      </c>
      <c r="R271" s="136">
        <f t="shared" si="965"/>
        <v>0</v>
      </c>
      <c r="S271" s="136">
        <f t="shared" si="966"/>
        <v>0</v>
      </c>
      <c r="T271" s="136">
        <f t="shared" si="835"/>
        <v>0</v>
      </c>
      <c r="U271" s="136">
        <f t="shared" si="835"/>
        <v>0</v>
      </c>
      <c r="V271" s="136">
        <f t="shared" si="967"/>
        <v>0</v>
      </c>
      <c r="W271" s="136">
        <f t="shared" si="968"/>
        <v>0</v>
      </c>
      <c r="X271" s="130">
        <f t="shared" si="854"/>
        <v>0</v>
      </c>
      <c r="Y271" s="129"/>
      <c r="Z271" s="64">
        <f t="shared" si="983"/>
        <v>454.28453333333334</v>
      </c>
      <c r="AA271" s="64">
        <f>+H271*Inf</f>
        <v>128.43739066666669</v>
      </c>
      <c r="AB271" s="64">
        <f>+I271*Inf</f>
        <v>325.84714266666668</v>
      </c>
      <c r="AC271" s="77"/>
      <c r="AD271" s="64">
        <f t="shared" si="984"/>
        <v>458.82737866666673</v>
      </c>
      <c r="AE271" s="64">
        <f>+AA271*Inf</f>
        <v>129.72176457333336</v>
      </c>
      <c r="AF271" s="64">
        <f>+AB271*Inf</f>
        <v>329.10561409333337</v>
      </c>
      <c r="AG271" s="77"/>
      <c r="AH271" s="64">
        <f t="shared" si="985"/>
        <v>463.41565245333339</v>
      </c>
      <c r="AI271" s="64">
        <f>+AE271*Inf</f>
        <v>131.01898221906669</v>
      </c>
      <c r="AJ271" s="64">
        <f>+AF271*Inf</f>
        <v>332.39667023426671</v>
      </c>
      <c r="AK271" s="77"/>
      <c r="AL271" s="64">
        <f t="shared" si="986"/>
        <v>468.04980897786675</v>
      </c>
      <c r="AM271" s="64">
        <f>+AI271*Inf</f>
        <v>132.32917204125735</v>
      </c>
      <c r="AN271" s="64">
        <f>+AJ271*Inf</f>
        <v>335.72063693660937</v>
      </c>
      <c r="AO271" s="165" t="s">
        <v>35</v>
      </c>
    </row>
    <row r="272" spans="1:41" s="1" customFormat="1" ht="13.2" hidden="1" customHeight="1" x14ac:dyDescent="0.25">
      <c r="A272" s="131"/>
      <c r="B272" s="63"/>
      <c r="C272" s="63"/>
      <c r="D272" s="63"/>
      <c r="E272" s="63"/>
      <c r="F272" s="63"/>
      <c r="G272" s="64"/>
      <c r="H272" s="64"/>
      <c r="I272" s="64"/>
      <c r="J272" s="129" t="str">
        <f t="shared" si="901"/>
        <v/>
      </c>
      <c r="K272" s="129"/>
      <c r="L272" s="132">
        <f t="shared" si="844"/>
        <v>0</v>
      </c>
      <c r="M272" s="132">
        <f t="shared" si="963"/>
        <v>0</v>
      </c>
      <c r="N272" s="130"/>
      <c r="O272" s="136"/>
      <c r="P272" s="136">
        <f t="shared" si="969"/>
        <v>0</v>
      </c>
      <c r="Q272" s="136">
        <f t="shared" si="964"/>
        <v>0</v>
      </c>
      <c r="R272" s="136">
        <f t="shared" si="965"/>
        <v>0</v>
      </c>
      <c r="S272" s="136">
        <f t="shared" si="966"/>
        <v>0</v>
      </c>
      <c r="T272" s="136">
        <f t="shared" si="835"/>
        <v>0</v>
      </c>
      <c r="U272" s="136">
        <f t="shared" si="835"/>
        <v>0</v>
      </c>
      <c r="V272" s="136">
        <f t="shared" si="967"/>
        <v>0</v>
      </c>
      <c r="W272" s="136">
        <f t="shared" si="968"/>
        <v>0</v>
      </c>
      <c r="X272" s="130">
        <f t="shared" si="854"/>
        <v>0</v>
      </c>
      <c r="Y272" s="129"/>
      <c r="Z272" s="64"/>
      <c r="AA272" s="64"/>
      <c r="AB272" s="64"/>
      <c r="AC272" s="129"/>
      <c r="AD272" s="64"/>
      <c r="AE272" s="64"/>
      <c r="AF272" s="64"/>
      <c r="AG272" s="129"/>
      <c r="AH272" s="64"/>
      <c r="AI272" s="64"/>
      <c r="AJ272" s="64"/>
      <c r="AK272" s="129"/>
      <c r="AL272" s="64"/>
      <c r="AM272" s="64"/>
      <c r="AN272" s="64"/>
      <c r="AO272" s="165"/>
    </row>
    <row r="273" spans="1:41" s="1" customFormat="1" ht="13.2" hidden="1" customHeight="1" x14ac:dyDescent="0.25">
      <c r="A273" s="131"/>
      <c r="B273" s="63"/>
      <c r="C273" s="63"/>
      <c r="D273" s="63"/>
      <c r="E273" s="63"/>
      <c r="F273" s="63"/>
      <c r="G273" s="64"/>
      <c r="H273" s="64"/>
      <c r="I273" s="64"/>
      <c r="J273" s="129" t="str">
        <f t="shared" si="901"/>
        <v/>
      </c>
      <c r="K273" s="129"/>
      <c r="L273" s="132">
        <f t="shared" si="844"/>
        <v>0</v>
      </c>
      <c r="M273" s="132">
        <f t="shared" si="963"/>
        <v>0</v>
      </c>
      <c r="N273" s="130"/>
      <c r="O273" s="136"/>
      <c r="P273" s="136">
        <f t="shared" si="969"/>
        <v>0</v>
      </c>
      <c r="Q273" s="136">
        <f t="shared" si="964"/>
        <v>0</v>
      </c>
      <c r="R273" s="136">
        <f t="shared" si="965"/>
        <v>0</v>
      </c>
      <c r="S273" s="136">
        <f t="shared" si="966"/>
        <v>0</v>
      </c>
      <c r="T273" s="136">
        <f t="shared" si="835"/>
        <v>0</v>
      </c>
      <c r="U273" s="136">
        <f t="shared" si="835"/>
        <v>0</v>
      </c>
      <c r="V273" s="136">
        <f t="shared" si="967"/>
        <v>0</v>
      </c>
      <c r="W273" s="136">
        <f t="shared" si="968"/>
        <v>0</v>
      </c>
      <c r="X273" s="130">
        <f t="shared" si="854"/>
        <v>0</v>
      </c>
      <c r="Y273" s="129"/>
      <c r="Z273" s="64"/>
      <c r="AA273" s="64"/>
      <c r="AB273" s="64"/>
      <c r="AC273" s="129"/>
      <c r="AD273" s="64"/>
      <c r="AE273" s="64"/>
      <c r="AF273" s="64"/>
      <c r="AG273" s="129"/>
      <c r="AH273" s="64"/>
      <c r="AI273" s="64"/>
      <c r="AJ273" s="64"/>
      <c r="AK273" s="129"/>
      <c r="AL273" s="64"/>
      <c r="AM273" s="64"/>
      <c r="AN273" s="64"/>
      <c r="AO273" s="165"/>
    </row>
    <row r="274" spans="1:41" s="1" customFormat="1" ht="13.2" hidden="1" customHeight="1" x14ac:dyDescent="0.25">
      <c r="A274" s="131"/>
      <c r="B274" s="63"/>
      <c r="C274" s="63"/>
      <c r="D274" s="63"/>
      <c r="E274" s="63"/>
      <c r="F274" s="63"/>
      <c r="G274" s="64"/>
      <c r="H274" s="64"/>
      <c r="I274" s="64"/>
      <c r="J274" s="129" t="str">
        <f t="shared" si="901"/>
        <v/>
      </c>
      <c r="K274" s="129"/>
      <c r="L274" s="132">
        <f t="shared" si="844"/>
        <v>0</v>
      </c>
      <c r="M274" s="132">
        <f t="shared" si="963"/>
        <v>0</v>
      </c>
      <c r="N274" s="130"/>
      <c r="O274" s="136"/>
      <c r="P274" s="136">
        <f t="shared" si="969"/>
        <v>0</v>
      </c>
      <c r="Q274" s="136">
        <f t="shared" si="964"/>
        <v>0</v>
      </c>
      <c r="R274" s="136">
        <f t="shared" si="965"/>
        <v>0</v>
      </c>
      <c r="S274" s="136">
        <f t="shared" si="966"/>
        <v>0</v>
      </c>
      <c r="T274" s="136">
        <f t="shared" si="835"/>
        <v>0</v>
      </c>
      <c r="U274" s="136">
        <f t="shared" si="835"/>
        <v>0</v>
      </c>
      <c r="V274" s="136">
        <f t="shared" si="967"/>
        <v>0</v>
      </c>
      <c r="W274" s="136">
        <f t="shared" si="968"/>
        <v>0</v>
      </c>
      <c r="X274" s="130">
        <f t="shared" si="854"/>
        <v>0</v>
      </c>
      <c r="Y274" s="129"/>
      <c r="Z274" s="64"/>
      <c r="AA274" s="64"/>
      <c r="AB274" s="64"/>
      <c r="AC274" s="129"/>
      <c r="AD274" s="64"/>
      <c r="AE274" s="64"/>
      <c r="AF274" s="64"/>
      <c r="AG274" s="129"/>
      <c r="AH274" s="64"/>
      <c r="AI274" s="64"/>
      <c r="AJ274" s="64"/>
      <c r="AK274" s="129"/>
      <c r="AL274" s="64"/>
      <c r="AM274" s="64"/>
      <c r="AN274" s="64"/>
      <c r="AO274" s="165"/>
    </row>
    <row r="275" spans="1:41" s="1" customFormat="1" ht="13.2" hidden="1" customHeight="1" x14ac:dyDescent="0.25">
      <c r="A275" s="131"/>
      <c r="B275" s="63"/>
      <c r="C275" s="63"/>
      <c r="D275" s="63"/>
      <c r="E275" s="63"/>
      <c r="F275" s="63"/>
      <c r="G275" s="64"/>
      <c r="H275" s="64"/>
      <c r="I275" s="64"/>
      <c r="J275" s="129" t="str">
        <f t="shared" si="901"/>
        <v/>
      </c>
      <c r="K275" s="129"/>
      <c r="L275" s="132">
        <f t="shared" si="844"/>
        <v>0</v>
      </c>
      <c r="M275" s="132">
        <f t="shared" si="963"/>
        <v>0</v>
      </c>
      <c r="N275" s="130"/>
      <c r="O275" s="136"/>
      <c r="P275" s="136">
        <f t="shared" si="969"/>
        <v>0</v>
      </c>
      <c r="Q275" s="136">
        <f t="shared" si="964"/>
        <v>0</v>
      </c>
      <c r="R275" s="136">
        <f t="shared" si="965"/>
        <v>0</v>
      </c>
      <c r="S275" s="136">
        <f t="shared" si="966"/>
        <v>0</v>
      </c>
      <c r="T275" s="136">
        <f t="shared" si="835"/>
        <v>0</v>
      </c>
      <c r="U275" s="136">
        <f t="shared" si="835"/>
        <v>0</v>
      </c>
      <c r="V275" s="136">
        <f t="shared" si="967"/>
        <v>0</v>
      </c>
      <c r="W275" s="136">
        <f t="shared" si="968"/>
        <v>0</v>
      </c>
      <c r="X275" s="130">
        <f t="shared" si="854"/>
        <v>0</v>
      </c>
      <c r="Y275" s="129"/>
      <c r="Z275" s="64"/>
      <c r="AA275" s="64"/>
      <c r="AB275" s="64"/>
      <c r="AC275" s="129"/>
      <c r="AD275" s="64"/>
      <c r="AE275" s="64"/>
      <c r="AF275" s="64"/>
      <c r="AG275" s="129"/>
      <c r="AH275" s="64"/>
      <c r="AI275" s="64"/>
      <c r="AJ275" s="64"/>
      <c r="AK275" s="129"/>
      <c r="AL275" s="64"/>
      <c r="AM275" s="64"/>
      <c r="AN275" s="64"/>
      <c r="AO275" s="165"/>
    </row>
    <row r="276" spans="1:41" s="1" customFormat="1" ht="13.2" hidden="1" customHeight="1" x14ac:dyDescent="0.25">
      <c r="A276" s="131"/>
      <c r="B276" s="134"/>
      <c r="C276" s="134"/>
      <c r="D276" s="134"/>
      <c r="E276" s="134"/>
      <c r="F276" s="134"/>
      <c r="G276" s="136"/>
      <c r="H276" s="136"/>
      <c r="I276" s="136"/>
      <c r="J276" s="129" t="str">
        <f t="shared" ref="J276" si="988">IF(G276&gt;0.49,"*","")</f>
        <v/>
      </c>
      <c r="K276" s="129"/>
      <c r="L276" s="132">
        <f t="shared" si="844"/>
        <v>0</v>
      </c>
      <c r="M276" s="132">
        <f t="shared" si="963"/>
        <v>0</v>
      </c>
      <c r="N276" s="130"/>
      <c r="O276" s="136"/>
      <c r="P276" s="136">
        <f t="shared" si="969"/>
        <v>0</v>
      </c>
      <c r="Q276" s="136">
        <f t="shared" si="964"/>
        <v>0</v>
      </c>
      <c r="R276" s="136">
        <f t="shared" si="965"/>
        <v>0</v>
      </c>
      <c r="S276" s="136">
        <f t="shared" si="966"/>
        <v>0</v>
      </c>
      <c r="T276" s="136">
        <f t="shared" si="835"/>
        <v>0</v>
      </c>
      <c r="U276" s="136">
        <f t="shared" si="835"/>
        <v>0</v>
      </c>
      <c r="V276" s="136">
        <f t="shared" si="967"/>
        <v>0</v>
      </c>
      <c r="W276" s="136">
        <f t="shared" si="968"/>
        <v>0</v>
      </c>
      <c r="X276" s="130">
        <f t="shared" si="854"/>
        <v>0</v>
      </c>
      <c r="Y276" s="129"/>
      <c r="Z276" s="136"/>
      <c r="AA276" s="136"/>
      <c r="AB276" s="136"/>
      <c r="AC276" s="129"/>
      <c r="AD276" s="136"/>
      <c r="AE276" s="136"/>
      <c r="AF276" s="136"/>
      <c r="AG276" s="129"/>
      <c r="AH276" s="136"/>
      <c r="AI276" s="136"/>
      <c r="AJ276" s="136"/>
      <c r="AK276" s="129"/>
      <c r="AL276" s="136"/>
      <c r="AM276" s="136"/>
      <c r="AN276" s="136"/>
      <c r="AO276" s="165"/>
    </row>
    <row r="277" spans="1:41" s="1" customFormat="1" ht="13.2" hidden="1" customHeight="1" x14ac:dyDescent="0.25">
      <c r="A277" s="131"/>
      <c r="B277" s="134"/>
      <c r="C277" s="134"/>
      <c r="D277" s="134"/>
      <c r="E277" s="134"/>
      <c r="F277" s="134"/>
      <c r="G277" s="136"/>
      <c r="H277" s="136"/>
      <c r="I277" s="136"/>
      <c r="J277" s="129" t="str">
        <f t="shared" si="901"/>
        <v/>
      </c>
      <c r="K277" s="129"/>
      <c r="L277" s="132">
        <f t="shared" si="844"/>
        <v>0</v>
      </c>
      <c r="M277" s="132">
        <f t="shared" si="963"/>
        <v>0</v>
      </c>
      <c r="N277" s="130"/>
      <c r="O277" s="136"/>
      <c r="P277" s="136">
        <f t="shared" si="969"/>
        <v>0</v>
      </c>
      <c r="Q277" s="136">
        <f t="shared" si="964"/>
        <v>0</v>
      </c>
      <c r="R277" s="136">
        <f t="shared" si="965"/>
        <v>0</v>
      </c>
      <c r="S277" s="136">
        <f t="shared" si="966"/>
        <v>0</v>
      </c>
      <c r="T277" s="136">
        <f t="shared" si="835"/>
        <v>0</v>
      </c>
      <c r="U277" s="136">
        <f t="shared" si="835"/>
        <v>0</v>
      </c>
      <c r="V277" s="136">
        <f t="shared" si="967"/>
        <v>0</v>
      </c>
      <c r="W277" s="136">
        <f t="shared" si="968"/>
        <v>0</v>
      </c>
      <c r="X277" s="130">
        <f t="shared" si="854"/>
        <v>0</v>
      </c>
      <c r="Y277" s="129"/>
      <c r="Z277" s="136"/>
      <c r="AA277" s="136"/>
      <c r="AB277" s="136"/>
      <c r="AC277" s="129"/>
      <c r="AD277" s="136"/>
      <c r="AE277" s="136"/>
      <c r="AF277" s="136"/>
      <c r="AG277" s="129"/>
      <c r="AH277" s="136"/>
      <c r="AI277" s="136"/>
      <c r="AJ277" s="136"/>
      <c r="AK277" s="129"/>
      <c r="AL277" s="136"/>
      <c r="AM277" s="136"/>
      <c r="AN277" s="136"/>
      <c r="AO277" s="165"/>
    </row>
    <row r="278" spans="1:41" x14ac:dyDescent="0.25">
      <c r="A278" s="131"/>
      <c r="B278" s="63"/>
      <c r="C278" s="63"/>
      <c r="D278" s="63"/>
      <c r="E278" s="63"/>
      <c r="F278" s="63"/>
      <c r="G278" s="65"/>
      <c r="H278" s="65"/>
      <c r="I278" s="65"/>
      <c r="J278" s="129" t="str">
        <f>IF(J279="*","*","")</f>
        <v>*</v>
      </c>
      <c r="L278" s="132">
        <f t="shared" si="844"/>
        <v>0</v>
      </c>
      <c r="M278" s="132">
        <f t="shared" si="963"/>
        <v>0</v>
      </c>
      <c r="N278" s="130"/>
      <c r="O278" s="136"/>
      <c r="P278" s="136">
        <f>IF(B278=432,G278,0)</f>
        <v>0</v>
      </c>
      <c r="Q278" s="136">
        <f t="shared" si="964"/>
        <v>0</v>
      </c>
      <c r="R278" s="136">
        <f t="shared" si="965"/>
        <v>0</v>
      </c>
      <c r="S278" s="136">
        <f t="shared" si="966"/>
        <v>0</v>
      </c>
      <c r="T278" s="136">
        <f t="shared" ref="T278:U347" si="989">IF($B278=435,H278,0)</f>
        <v>0</v>
      </c>
      <c r="U278" s="136">
        <f t="shared" si="989"/>
        <v>0</v>
      </c>
      <c r="V278" s="136">
        <f t="shared" si="967"/>
        <v>0</v>
      </c>
      <c r="W278" s="136">
        <f t="shared" si="968"/>
        <v>0</v>
      </c>
      <c r="X278" s="130">
        <f t="shared" si="854"/>
        <v>0</v>
      </c>
      <c r="Z278" s="65"/>
      <c r="AA278" s="65"/>
      <c r="AB278" s="65"/>
      <c r="AD278" s="65"/>
      <c r="AE278" s="65"/>
      <c r="AF278" s="65"/>
      <c r="AH278" s="65"/>
      <c r="AI278" s="65"/>
      <c r="AJ278" s="65"/>
      <c r="AL278" s="65"/>
      <c r="AM278" s="65"/>
      <c r="AN278" s="65"/>
      <c r="AO278" s="165"/>
    </row>
    <row r="279" spans="1:41" x14ac:dyDescent="0.25">
      <c r="A279" s="131"/>
      <c r="F279" s="85" t="s">
        <v>74</v>
      </c>
      <c r="G279" s="86">
        <f>SUM(G263:G278)</f>
        <v>300745.78900000005</v>
      </c>
      <c r="H279" s="86">
        <f t="shared" ref="H279:I279" si="990">SUM(H263:H278)</f>
        <v>138269.34179999999</v>
      </c>
      <c r="I279" s="86">
        <f t="shared" si="990"/>
        <v>162476.4472</v>
      </c>
      <c r="J279" s="129" t="str">
        <f>IF(G279&gt;0.49,"*","")</f>
        <v>*</v>
      </c>
      <c r="L279" s="133">
        <f>SUM(L262:L278)</f>
        <v>0</v>
      </c>
      <c r="M279" s="133">
        <f>SUM(M262:M278)</f>
        <v>300745.78900000005</v>
      </c>
      <c r="N279" s="130"/>
      <c r="O279" s="133"/>
      <c r="P279" s="133">
        <f t="shared" ref="P279:X279" si="991">SUM(P263:P278)</f>
        <v>0</v>
      </c>
      <c r="Q279" s="133">
        <f t="shared" si="991"/>
        <v>0</v>
      </c>
      <c r="R279" s="133">
        <f t="shared" ref="R279" si="992">SUM(R263:R278)</f>
        <v>0</v>
      </c>
      <c r="S279" s="133">
        <f t="shared" ref="S279:W279" si="993">SUM(S263:S278)</f>
        <v>0</v>
      </c>
      <c r="T279" s="133">
        <f t="shared" si="993"/>
        <v>0</v>
      </c>
      <c r="U279" s="133">
        <f t="shared" si="993"/>
        <v>0</v>
      </c>
      <c r="V279" s="133">
        <f t="shared" si="993"/>
        <v>0</v>
      </c>
      <c r="W279" s="133">
        <f t="shared" si="993"/>
        <v>0</v>
      </c>
      <c r="X279" s="133">
        <f t="shared" si="991"/>
        <v>0</v>
      </c>
      <c r="Z279" s="86">
        <f>SUM(Z263:Z278)</f>
        <v>310732.95289000002</v>
      </c>
      <c r="AA279" s="86">
        <f t="shared" ref="AA279:AB279" si="994">SUM(AA263:AA278)</f>
        <v>139652.03521799998</v>
      </c>
      <c r="AB279" s="86">
        <f t="shared" si="994"/>
        <v>171080.91767199998</v>
      </c>
      <c r="AD279" s="86">
        <f>SUM(AD263:AD278)</f>
        <v>313840.28241889999</v>
      </c>
      <c r="AE279" s="86">
        <f t="shared" ref="AE279:AF279" si="995">SUM(AE263:AE278)</f>
        <v>141048.55557018</v>
      </c>
      <c r="AF279" s="86">
        <f t="shared" si="995"/>
        <v>172791.72684872002</v>
      </c>
      <c r="AH279" s="86">
        <f>SUM(AH263:AH278)</f>
        <v>316978.68524308898</v>
      </c>
      <c r="AI279" s="86">
        <f t="shared" ref="AI279:AJ279" si="996">SUM(AI263:AI278)</f>
        <v>142459.04112588181</v>
      </c>
      <c r="AJ279" s="86">
        <f t="shared" si="996"/>
        <v>174519.64411720721</v>
      </c>
      <c r="AL279" s="86">
        <f>SUM(AL263:AL278)</f>
        <v>320148.47209551989</v>
      </c>
      <c r="AM279" s="86">
        <f t="shared" ref="AM279:AN279" si="997">SUM(AM263:AM278)</f>
        <v>143883.63153714064</v>
      </c>
      <c r="AN279" s="86">
        <f t="shared" si="997"/>
        <v>176264.84055837925</v>
      </c>
      <c r="AO279" s="165"/>
    </row>
    <row r="280" spans="1:41" x14ac:dyDescent="0.25">
      <c r="A280" s="131"/>
      <c r="B280" s="93"/>
      <c r="C280" s="93"/>
      <c r="D280" s="93"/>
      <c r="E280" s="93"/>
      <c r="F280" s="90"/>
      <c r="J280" s="129" t="str">
        <f>IF(J279="*","*","")</f>
        <v>*</v>
      </c>
      <c r="L280" s="132">
        <f t="shared" si="844"/>
        <v>0</v>
      </c>
      <c r="M280" s="132">
        <f t="shared" ref="M280:M319" si="998">IF(E280&gt;299,G280,0)</f>
        <v>0</v>
      </c>
      <c r="N280" s="130"/>
      <c r="O280" s="136"/>
      <c r="P280" s="136">
        <f>IF(B280=432,G280,0)</f>
        <v>0</v>
      </c>
      <c r="Q280" s="136">
        <f t="shared" ref="Q280:Q319" si="999">IF(B280=410,H280,0)</f>
        <v>0</v>
      </c>
      <c r="R280" s="136">
        <f t="shared" ref="R280:R319" si="1000">IF(B280=432,H280,0)</f>
        <v>0</v>
      </c>
      <c r="S280" s="136">
        <f t="shared" ref="S280:S319" si="1001">IF(B280=432,I280,0)</f>
        <v>0</v>
      </c>
      <c r="T280" s="136">
        <f t="shared" si="989"/>
        <v>0</v>
      </c>
      <c r="U280" s="136">
        <f t="shared" si="989"/>
        <v>0</v>
      </c>
      <c r="V280" s="136">
        <f t="shared" ref="V280:V319" si="1002">IF(B280=360,I280,0)</f>
        <v>0</v>
      </c>
      <c r="W280" s="136">
        <f t="shared" ref="W280:W319" si="1003">IF(B280=410,I280,0)</f>
        <v>0</v>
      </c>
      <c r="X280" s="130">
        <f t="shared" si="854"/>
        <v>0</v>
      </c>
      <c r="AO280" s="165"/>
    </row>
    <row r="281" spans="1:41" x14ac:dyDescent="0.25">
      <c r="A281" s="131">
        <v>1</v>
      </c>
      <c r="B281" s="63">
        <v>100</v>
      </c>
      <c r="C281" s="63">
        <v>4000</v>
      </c>
      <c r="D281" s="63">
        <v>7300</v>
      </c>
      <c r="E281" s="63">
        <v>110</v>
      </c>
      <c r="F281" s="63" t="s">
        <v>75</v>
      </c>
      <c r="G281" s="88">
        <f>+'Payroll Input'!H118-G282</f>
        <v>283366.66666666663</v>
      </c>
      <c r="H281" s="88">
        <f>+SUM('Payroll Input'!H107:H110)-H282</f>
        <v>132993.33333333331</v>
      </c>
      <c r="I281" s="88">
        <f>+SUM('Payroll Input'!H112:H117)-I282</f>
        <v>150373.33333333331</v>
      </c>
      <c r="J281" s="129" t="str">
        <f t="shared" si="901"/>
        <v>*</v>
      </c>
      <c r="L281" s="132">
        <f t="shared" si="844"/>
        <v>283366.66666666663</v>
      </c>
      <c r="M281" s="132">
        <f t="shared" si="998"/>
        <v>0</v>
      </c>
      <c r="N281" s="130"/>
      <c r="O281" s="136"/>
      <c r="P281" s="136">
        <f t="shared" ref="P281:P313" si="1004">IF(B281=490,G281,0)</f>
        <v>0</v>
      </c>
      <c r="Q281" s="136">
        <f t="shared" si="999"/>
        <v>0</v>
      </c>
      <c r="R281" s="136">
        <f t="shared" si="1000"/>
        <v>0</v>
      </c>
      <c r="S281" s="136">
        <f t="shared" si="1001"/>
        <v>0</v>
      </c>
      <c r="T281" s="136">
        <f t="shared" si="989"/>
        <v>0</v>
      </c>
      <c r="U281" s="136">
        <f t="shared" si="989"/>
        <v>0</v>
      </c>
      <c r="V281" s="136">
        <f t="shared" si="1002"/>
        <v>0</v>
      </c>
      <c r="W281" s="136">
        <f t="shared" si="1003"/>
        <v>0</v>
      </c>
      <c r="X281" s="130">
        <f t="shared" si="854"/>
        <v>0</v>
      </c>
      <c r="Z281" s="132">
        <f>AA281+AB281</f>
        <v>360125.77077294682</v>
      </c>
      <c r="AA281" s="132">
        <f t="shared" ref="AA281:AB284" si="1005">(H281)/H$11*AA$11*Inf</f>
        <v>145516.87222222221</v>
      </c>
      <c r="AB281" s="132">
        <f t="shared" si="1005"/>
        <v>214608.89855072461</v>
      </c>
      <c r="AD281" s="103">
        <f t="shared" ref="AD281:AD297" si="1006">AE281+AF281</f>
        <v>363727.02848067629</v>
      </c>
      <c r="AE281" s="103">
        <f t="shared" ref="AE281:AF284" si="1007">(AA281)/AA$11*AE$11*Inf</f>
        <v>146972.04094444442</v>
      </c>
      <c r="AF281" s="103">
        <f t="shared" si="1007"/>
        <v>216754.98753623187</v>
      </c>
      <c r="AH281" s="103">
        <f t="shared" ref="AH281:AH297" si="1008">AI281+AJ281</f>
        <v>395623.09097821254</v>
      </c>
      <c r="AI281" s="103">
        <f t="shared" ref="AI281:AJ284" si="1009">(AE281)/AE$11*AI$11*Inf</f>
        <v>159860.35838111109</v>
      </c>
      <c r="AJ281" s="103">
        <f t="shared" si="1009"/>
        <v>235762.73259710142</v>
      </c>
      <c r="AL281" s="103">
        <f t="shared" ref="AL281:AL297" si="1010">AM281+AN281</f>
        <v>399579.32188799465</v>
      </c>
      <c r="AM281" s="103">
        <f t="shared" ref="AM281:AN284" si="1011">(AI281)/AI$11*AM$11*Inf</f>
        <v>161458.9619649222</v>
      </c>
      <c r="AN281" s="103">
        <f t="shared" si="1011"/>
        <v>238120.35992307245</v>
      </c>
      <c r="AO281" s="165" t="s">
        <v>35</v>
      </c>
    </row>
    <row r="282" spans="1:41" hidden="1" x14ac:dyDescent="0.25">
      <c r="A282" s="131">
        <v>1</v>
      </c>
      <c r="B282" s="63">
        <v>432</v>
      </c>
      <c r="C282" s="63">
        <v>4000</v>
      </c>
      <c r="D282" s="63">
        <v>7300</v>
      </c>
      <c r="E282" s="63">
        <v>110</v>
      </c>
      <c r="F282" s="63" t="s">
        <v>75</v>
      </c>
      <c r="G282" s="103">
        <f>+H282+I282</f>
        <v>0</v>
      </c>
      <c r="H282" s="88">
        <v>0</v>
      </c>
      <c r="I282" s="88">
        <v>0</v>
      </c>
      <c r="J282" s="129" t="str">
        <f t="shared" ref="J282" si="1012">IF(G282&gt;0.49,"*","")</f>
        <v/>
      </c>
      <c r="L282" s="132">
        <f t="shared" ref="L282" si="1013">IF(E282&lt;300,G282,0)</f>
        <v>0</v>
      </c>
      <c r="M282" s="132">
        <f t="shared" ref="M282" si="1014">IF(E282&gt;299,G282,0)</f>
        <v>0</v>
      </c>
      <c r="N282" s="130"/>
      <c r="O282" s="136"/>
      <c r="P282" s="136">
        <f t="shared" ref="P282" si="1015">IF(B282=490,G282,0)</f>
        <v>0</v>
      </c>
      <c r="Q282" s="136">
        <f t="shared" ref="Q282" si="1016">IF(B282=410,H282,0)</f>
        <v>0</v>
      </c>
      <c r="R282" s="136">
        <f t="shared" ref="R282" si="1017">IF(B282=432,H282,0)</f>
        <v>0</v>
      </c>
      <c r="S282" s="136">
        <f t="shared" ref="S282" si="1018">IF(B282=432,I282,0)</f>
        <v>0</v>
      </c>
      <c r="T282" s="136">
        <f t="shared" ref="T282" si="1019">IF($B282=435,H282,0)</f>
        <v>0</v>
      </c>
      <c r="U282" s="136">
        <f t="shared" ref="U282" si="1020">IF($B282=435,I282,0)</f>
        <v>0</v>
      </c>
      <c r="V282" s="136">
        <f t="shared" ref="V282" si="1021">IF(B282=360,I282,0)</f>
        <v>0</v>
      </c>
      <c r="W282" s="136">
        <f t="shared" ref="W282" si="1022">IF(B282=410,I282,0)</f>
        <v>0</v>
      </c>
      <c r="X282" s="130">
        <f t="shared" ref="X282" si="1023">+W282+Q282-O282</f>
        <v>0</v>
      </c>
      <c r="Z282" s="132">
        <f>AA282+AB282</f>
        <v>0</v>
      </c>
      <c r="AA282" s="132">
        <f t="shared" ref="AA282" si="1024">(H282)/H$11*AA$11*Inf</f>
        <v>0</v>
      </c>
      <c r="AB282" s="132">
        <f t="shared" ref="AB282" si="1025">(I282)/I$11*AB$11*Inf</f>
        <v>0</v>
      </c>
      <c r="AD282" s="103">
        <f t="shared" ref="AD282" si="1026">AE282+AF282</f>
        <v>0</v>
      </c>
      <c r="AE282" s="103">
        <f t="shared" ref="AE282" si="1027">(AA282)/AA$11*AE$11*Inf</f>
        <v>0</v>
      </c>
      <c r="AF282" s="103">
        <f t="shared" ref="AF282" si="1028">(AB282)/AB$11*AF$11*Inf</f>
        <v>0</v>
      </c>
      <c r="AH282" s="103">
        <f t="shared" ref="AH282" si="1029">AI282+AJ282</f>
        <v>0</v>
      </c>
      <c r="AI282" s="103">
        <f t="shared" ref="AI282" si="1030">(AE282)/AE$11*AI$11*Inf</f>
        <v>0</v>
      </c>
      <c r="AJ282" s="103">
        <f t="shared" ref="AJ282" si="1031">(AF282)/AF$11*AJ$11*Inf</f>
        <v>0</v>
      </c>
      <c r="AL282" s="103">
        <f t="shared" ref="AL282" si="1032">AM282+AN282</f>
        <v>0</v>
      </c>
      <c r="AM282" s="103">
        <f t="shared" ref="AM282" si="1033">(AI282)/AI$11*AM$11*Inf</f>
        <v>0</v>
      </c>
      <c r="AN282" s="103">
        <f t="shared" ref="AN282" si="1034">(AJ282)/AJ$11*AN$11*Inf</f>
        <v>0</v>
      </c>
      <c r="AO282" s="165" t="s">
        <v>35</v>
      </c>
    </row>
    <row r="283" spans="1:41" x14ac:dyDescent="0.25">
      <c r="A283" s="131">
        <v>1</v>
      </c>
      <c r="B283" s="63">
        <v>100</v>
      </c>
      <c r="C283" s="63">
        <v>4000</v>
      </c>
      <c r="D283" s="63">
        <v>7300</v>
      </c>
      <c r="E283" s="63">
        <v>160</v>
      </c>
      <c r="F283" s="63" t="s">
        <v>76</v>
      </c>
      <c r="G283" s="88">
        <f>+'Payroll Input'!H135-G284</f>
        <v>184899.0576</v>
      </c>
      <c r="H283" s="88">
        <f>+SUM('Payroll Input'!H120:H126)-H284</f>
        <v>107811.41279999999</v>
      </c>
      <c r="I283" s="88">
        <f>+SUM('Payroll Input'!H128:H134)-I284</f>
        <v>77087.644800000009</v>
      </c>
      <c r="J283" s="129" t="str">
        <f t="shared" ref="J283" si="1035">IF(G283&gt;0.49,"*","")</f>
        <v>*</v>
      </c>
      <c r="L283" s="132">
        <f t="shared" ref="L283" si="1036">IF(E283&lt;300,G283,0)</f>
        <v>184899.0576</v>
      </c>
      <c r="M283" s="132">
        <f t="shared" ref="M283" si="1037">IF(E283&gt;299,G283,0)</f>
        <v>0</v>
      </c>
      <c r="N283" s="130"/>
      <c r="O283" s="136"/>
      <c r="P283" s="136">
        <f t="shared" ref="P283" si="1038">IF(B283=490,G283,0)</f>
        <v>0</v>
      </c>
      <c r="Q283" s="136">
        <f t="shared" ref="Q283" si="1039">IF(B283=410,H283,0)</f>
        <v>0</v>
      </c>
      <c r="R283" s="136">
        <f t="shared" ref="R283" si="1040">IF(B283=432,H283,0)</f>
        <v>0</v>
      </c>
      <c r="S283" s="136">
        <f t="shared" ref="S283" si="1041">IF(B283=432,I283,0)</f>
        <v>0</v>
      </c>
      <c r="T283" s="136">
        <f t="shared" si="989"/>
        <v>0</v>
      </c>
      <c r="U283" s="136">
        <f t="shared" si="989"/>
        <v>0</v>
      </c>
      <c r="V283" s="136">
        <f t="shared" ref="V283" si="1042">IF(B283=360,I283,0)</f>
        <v>0</v>
      </c>
      <c r="W283" s="136">
        <f t="shared" ref="W283" si="1043">IF(B283=410,I283,0)</f>
        <v>0</v>
      </c>
      <c r="X283" s="130">
        <f t="shared" ref="X283" si="1044">+W283+Q283-O283</f>
        <v>0</v>
      </c>
      <c r="Z283" s="132">
        <f t="shared" ref="Z283" si="1045">AA283+AB283</f>
        <v>227981.12984852176</v>
      </c>
      <c r="AA283" s="132">
        <f t="shared" si="1005"/>
        <v>117963.654172</v>
      </c>
      <c r="AB283" s="132">
        <f t="shared" si="1005"/>
        <v>110017.47567652176</v>
      </c>
      <c r="AD283" s="103">
        <f t="shared" ref="AD283" si="1046">AE283+AF283</f>
        <v>230260.94114700699</v>
      </c>
      <c r="AE283" s="103">
        <f t="shared" si="1007"/>
        <v>119143.29071372001</v>
      </c>
      <c r="AF283" s="103">
        <f t="shared" si="1007"/>
        <v>111117.65043328698</v>
      </c>
      <c r="AH283" s="103">
        <f t="shared" ref="AH283" si="1047">AI283+AJ283</f>
        <v>250453.05444759066</v>
      </c>
      <c r="AI283" s="103">
        <f t="shared" si="1009"/>
        <v>129591.24082246161</v>
      </c>
      <c r="AJ283" s="103">
        <f t="shared" si="1009"/>
        <v>120861.81362512907</v>
      </c>
      <c r="AL283" s="103">
        <f t="shared" ref="AL283" si="1048">AM283+AN283</f>
        <v>252957.58499206658</v>
      </c>
      <c r="AM283" s="103">
        <f t="shared" si="1011"/>
        <v>130887.15323068622</v>
      </c>
      <c r="AN283" s="103">
        <f t="shared" si="1011"/>
        <v>122070.43176138036</v>
      </c>
      <c r="AO283" s="165" t="s">
        <v>35</v>
      </c>
    </row>
    <row r="284" spans="1:41" s="221" customFormat="1" hidden="1" x14ac:dyDescent="0.25">
      <c r="A284" s="131">
        <v>1</v>
      </c>
      <c r="B284" s="99">
        <v>435</v>
      </c>
      <c r="C284" s="99">
        <v>4000</v>
      </c>
      <c r="D284" s="99">
        <v>7300</v>
      </c>
      <c r="E284" s="99">
        <v>160</v>
      </c>
      <c r="F284" s="99" t="s">
        <v>76</v>
      </c>
      <c r="G284" s="103">
        <f>+H284+I284</f>
        <v>0</v>
      </c>
      <c r="H284" s="81">
        <v>0</v>
      </c>
      <c r="I284" s="81">
        <v>0</v>
      </c>
      <c r="J284" s="110" t="str">
        <f t="shared" si="901"/>
        <v/>
      </c>
      <c r="L284" s="103">
        <f>IF(E284&lt;300,G284,0)</f>
        <v>0</v>
      </c>
      <c r="M284" s="103">
        <f t="shared" si="998"/>
        <v>0</v>
      </c>
      <c r="N284" s="215"/>
      <c r="O284" s="154"/>
      <c r="P284" s="154">
        <f t="shared" si="1004"/>
        <v>0</v>
      </c>
      <c r="Q284" s="154">
        <f t="shared" si="999"/>
        <v>0</v>
      </c>
      <c r="R284" s="154">
        <f t="shared" si="1000"/>
        <v>0</v>
      </c>
      <c r="S284" s="154">
        <f t="shared" si="1001"/>
        <v>0</v>
      </c>
      <c r="T284" s="154">
        <f t="shared" si="989"/>
        <v>0</v>
      </c>
      <c r="U284" s="154">
        <f t="shared" si="989"/>
        <v>0</v>
      </c>
      <c r="V284" s="154">
        <f t="shared" si="1002"/>
        <v>0</v>
      </c>
      <c r="W284" s="154">
        <f t="shared" si="1003"/>
        <v>0</v>
      </c>
      <c r="X284" s="215">
        <f t="shared" si="854"/>
        <v>0</v>
      </c>
      <c r="Z284" s="132">
        <f t="shared" ref="Z284:Z297" si="1049">AA284+AB284</f>
        <v>0</v>
      </c>
      <c r="AA284" s="132">
        <f t="shared" si="1005"/>
        <v>0</v>
      </c>
      <c r="AB284" s="132">
        <f t="shared" si="1005"/>
        <v>0</v>
      </c>
      <c r="AC284" s="77"/>
      <c r="AD284" s="103">
        <f t="shared" si="1006"/>
        <v>0</v>
      </c>
      <c r="AE284" s="103">
        <f t="shared" si="1007"/>
        <v>0</v>
      </c>
      <c r="AF284" s="103">
        <f t="shared" si="1007"/>
        <v>0</v>
      </c>
      <c r="AG284" s="77"/>
      <c r="AH284" s="103">
        <f t="shared" si="1008"/>
        <v>0</v>
      </c>
      <c r="AI284" s="103">
        <f t="shared" si="1009"/>
        <v>0</v>
      </c>
      <c r="AJ284" s="103">
        <f t="shared" si="1009"/>
        <v>0</v>
      </c>
      <c r="AK284" s="77"/>
      <c r="AL284" s="103">
        <f t="shared" si="1010"/>
        <v>0</v>
      </c>
      <c r="AM284" s="103">
        <f t="shared" si="1011"/>
        <v>0</v>
      </c>
      <c r="AN284" s="103">
        <f t="shared" si="1011"/>
        <v>0</v>
      </c>
      <c r="AO284" s="165" t="s">
        <v>35</v>
      </c>
    </row>
    <row r="285" spans="1:41" s="1" customFormat="1" x14ac:dyDescent="0.25">
      <c r="A285" s="131">
        <v>1</v>
      </c>
      <c r="B285" s="134">
        <v>100</v>
      </c>
      <c r="C285" s="134">
        <v>4000</v>
      </c>
      <c r="D285" s="134">
        <v>7300</v>
      </c>
      <c r="E285" s="134">
        <v>210</v>
      </c>
      <c r="F285" s="134" t="s">
        <v>45</v>
      </c>
      <c r="G285" s="88">
        <f>+'Payroll Input'!I118+'Payroll Input'!I135-G286-G287</f>
        <v>55770.447760160001</v>
      </c>
      <c r="H285" s="88">
        <f>+SUM('Payroll Input'!I107:I110)+SUM('Payroll Input'!I120:I127)-H286-H287</f>
        <v>28679.845264479998</v>
      </c>
      <c r="I285" s="88">
        <f>+SUM('Payroll Input'!I$112:I$117)+SUM('Payroll Input'!I$128:I$134)-I286-I287</f>
        <v>27090.602495679999</v>
      </c>
      <c r="J285" s="129" t="str">
        <f>IF(G285&gt;0.49,"*","")</f>
        <v>*</v>
      </c>
      <c r="K285" s="129"/>
      <c r="L285" s="132">
        <f>IF(E285&lt;300,G285,0)</f>
        <v>55770.447760160001</v>
      </c>
      <c r="M285" s="132">
        <f>IF(E285&gt;299,G285,0)</f>
        <v>0</v>
      </c>
      <c r="N285" s="130"/>
      <c r="O285" s="136"/>
      <c r="P285" s="136">
        <f>IF(B285=490,G285,0)</f>
        <v>0</v>
      </c>
      <c r="Q285" s="136">
        <f>IF(B285=410,H285,0)</f>
        <v>0</v>
      </c>
      <c r="R285" s="136">
        <f>IF(B285=432,H285,0)</f>
        <v>0</v>
      </c>
      <c r="S285" s="136">
        <f>IF(B285=432,I285,0)</f>
        <v>0</v>
      </c>
      <c r="T285" s="136">
        <f t="shared" si="989"/>
        <v>0</v>
      </c>
      <c r="U285" s="136">
        <f t="shared" si="989"/>
        <v>0</v>
      </c>
      <c r="V285" s="136">
        <f>IF(B285=360,I285,0)</f>
        <v>0</v>
      </c>
      <c r="W285" s="136">
        <f>IF(B285=410,I285,0)</f>
        <v>0</v>
      </c>
      <c r="X285" s="130">
        <f>+W285+Q285-O285</f>
        <v>0</v>
      </c>
      <c r="Y285" s="129"/>
      <c r="Z285" s="132">
        <f>AA285+AB285</f>
        <v>58810.690062146867</v>
      </c>
      <c r="AA285" s="132">
        <f t="shared" ref="AA285:AB287" si="1050">SUM(AA$281:AA$284)*10%</f>
        <v>26348.052639422225</v>
      </c>
      <c r="AB285" s="132">
        <f t="shared" si="1050"/>
        <v>32462.637422724642</v>
      </c>
      <c r="AC285" s="129"/>
      <c r="AD285" s="103">
        <f>AE285+AF285</f>
        <v>59398.796962768334</v>
      </c>
      <c r="AE285" s="132">
        <f t="shared" ref="AE285:AF287" si="1051">SUM(AE$281:AE$284)*10%</f>
        <v>26611.533165816447</v>
      </c>
      <c r="AF285" s="132">
        <f t="shared" si="1051"/>
        <v>32787.263796951884</v>
      </c>
      <c r="AG285" s="129"/>
      <c r="AH285" s="103">
        <f>AI285+AJ285</f>
        <v>64607.614542580326</v>
      </c>
      <c r="AI285" s="132">
        <f t="shared" ref="AI285:AJ287" si="1052">SUM(AI$281:AI$284)*10%</f>
        <v>28945.159920357273</v>
      </c>
      <c r="AJ285" s="132">
        <f t="shared" si="1052"/>
        <v>35662.454622223049</v>
      </c>
      <c r="AK285" s="129"/>
      <c r="AL285" s="103">
        <f>AM285+AN285</f>
        <v>65253.690688006121</v>
      </c>
      <c r="AM285" s="132">
        <f t="shared" ref="AM285:AN287" si="1053">SUM(AM$281:AM$284)*10%</f>
        <v>29234.611519560844</v>
      </c>
      <c r="AN285" s="132">
        <f t="shared" si="1053"/>
        <v>36019.079168445278</v>
      </c>
      <c r="AO285" s="165" t="s">
        <v>56</v>
      </c>
    </row>
    <row r="286" spans="1:41" s="129" customFormat="1" hidden="1" x14ac:dyDescent="0.25">
      <c r="A286" s="131">
        <v>1</v>
      </c>
      <c r="B286" s="63">
        <v>432</v>
      </c>
      <c r="C286" s="134">
        <v>4000</v>
      </c>
      <c r="D286" s="134">
        <v>7300</v>
      </c>
      <c r="E286" s="134">
        <v>210</v>
      </c>
      <c r="F286" s="134" t="s">
        <v>45</v>
      </c>
      <c r="G286" s="103">
        <f>+H286+I286</f>
        <v>0</v>
      </c>
      <c r="H286" s="88">
        <v>0</v>
      </c>
      <c r="I286" s="88">
        <v>0</v>
      </c>
      <c r="J286" s="129" t="str">
        <f>IF(G286&gt;0.49,"*","")</f>
        <v/>
      </c>
      <c r="L286" s="132">
        <f>IF(E286&lt;300,G286,0)</f>
        <v>0</v>
      </c>
      <c r="M286" s="132">
        <f>IF(E286&gt;299,G286,0)</f>
        <v>0</v>
      </c>
      <c r="N286" s="130"/>
      <c r="O286" s="136"/>
      <c r="P286" s="136">
        <f>IF(B286=490,G286,0)</f>
        <v>0</v>
      </c>
      <c r="Q286" s="136">
        <f>IF(B286=410,H286,0)</f>
        <v>0</v>
      </c>
      <c r="R286" s="136">
        <f>IF(B286=432,H286,0)</f>
        <v>0</v>
      </c>
      <c r="S286" s="136">
        <f>IF(B286=432,I286,0)</f>
        <v>0</v>
      </c>
      <c r="T286" s="136">
        <f t="shared" ref="T286" si="1054">IF($B286=435,H286,0)</f>
        <v>0</v>
      </c>
      <c r="U286" s="136">
        <f t="shared" ref="U286" si="1055">IF($B286=435,I286,0)</f>
        <v>0</v>
      </c>
      <c r="V286" s="136">
        <f>IF(B286=360,I286,0)</f>
        <v>0</v>
      </c>
      <c r="W286" s="136">
        <f>IF(B286=410,I286,0)</f>
        <v>0</v>
      </c>
      <c r="X286" s="130">
        <f>+W286+Q286-O286</f>
        <v>0</v>
      </c>
      <c r="Z286" s="132">
        <f>AA286+AB286</f>
        <v>58810.690062146867</v>
      </c>
      <c r="AA286" s="132">
        <f t="shared" si="1050"/>
        <v>26348.052639422225</v>
      </c>
      <c r="AB286" s="132">
        <f t="shared" si="1050"/>
        <v>32462.637422724642</v>
      </c>
      <c r="AD286" s="103">
        <f>AE286+AF286</f>
        <v>59398.796962768334</v>
      </c>
      <c r="AE286" s="132">
        <f t="shared" si="1051"/>
        <v>26611.533165816447</v>
      </c>
      <c r="AF286" s="132">
        <f t="shared" si="1051"/>
        <v>32787.263796951884</v>
      </c>
      <c r="AH286" s="103">
        <f>AI286+AJ286</f>
        <v>64607.614542580326</v>
      </c>
      <c r="AI286" s="132">
        <f t="shared" si="1052"/>
        <v>28945.159920357273</v>
      </c>
      <c r="AJ286" s="132">
        <f t="shared" si="1052"/>
        <v>35662.454622223049</v>
      </c>
      <c r="AL286" s="103">
        <f>AM286+AN286</f>
        <v>65253.690688006121</v>
      </c>
      <c r="AM286" s="132">
        <f t="shared" si="1053"/>
        <v>29234.611519560844</v>
      </c>
      <c r="AN286" s="132">
        <f t="shared" si="1053"/>
        <v>36019.079168445278</v>
      </c>
      <c r="AO286" s="165" t="s">
        <v>56</v>
      </c>
    </row>
    <row r="287" spans="1:41" s="129" customFormat="1" hidden="1" x14ac:dyDescent="0.25">
      <c r="A287" s="131">
        <v>1</v>
      </c>
      <c r="B287" s="134">
        <v>435</v>
      </c>
      <c r="C287" s="134">
        <v>4000</v>
      </c>
      <c r="D287" s="134">
        <v>7300</v>
      </c>
      <c r="E287" s="134">
        <v>210</v>
      </c>
      <c r="F287" s="134" t="s">
        <v>45</v>
      </c>
      <c r="G287" s="103">
        <f>+H287+I287</f>
        <v>0</v>
      </c>
      <c r="H287" s="88">
        <v>0</v>
      </c>
      <c r="I287" s="88">
        <v>0</v>
      </c>
      <c r="J287" s="129" t="str">
        <f>IF(G287&gt;0.49,"*","")</f>
        <v/>
      </c>
      <c r="L287" s="132">
        <f>IF(E287&lt;300,G287,0)</f>
        <v>0</v>
      </c>
      <c r="M287" s="132">
        <f>IF(E287&gt;299,G287,0)</f>
        <v>0</v>
      </c>
      <c r="N287" s="130"/>
      <c r="O287" s="136"/>
      <c r="P287" s="136">
        <f>IF(B287=490,G287,0)</f>
        <v>0</v>
      </c>
      <c r="Q287" s="136">
        <f>IF(B287=410,H287,0)</f>
        <v>0</v>
      </c>
      <c r="R287" s="136">
        <f>IF(B287=432,H287,0)</f>
        <v>0</v>
      </c>
      <c r="S287" s="136">
        <f>IF(B287=432,I287,0)</f>
        <v>0</v>
      </c>
      <c r="T287" s="136">
        <f t="shared" si="989"/>
        <v>0</v>
      </c>
      <c r="U287" s="136">
        <f t="shared" si="989"/>
        <v>0</v>
      </c>
      <c r="V287" s="136">
        <f>IF(B287=360,I287,0)</f>
        <v>0</v>
      </c>
      <c r="W287" s="136">
        <f>IF(B287=410,I287,0)</f>
        <v>0</v>
      </c>
      <c r="X287" s="130">
        <f>+W287+Q287-O287</f>
        <v>0</v>
      </c>
      <c r="Z287" s="132">
        <f>AA287+AB287</f>
        <v>58810.690062146867</v>
      </c>
      <c r="AA287" s="132">
        <f t="shared" si="1050"/>
        <v>26348.052639422225</v>
      </c>
      <c r="AB287" s="132">
        <f t="shared" si="1050"/>
        <v>32462.637422724642</v>
      </c>
      <c r="AD287" s="103">
        <f>AE287+AF287</f>
        <v>59398.796962768334</v>
      </c>
      <c r="AE287" s="132">
        <f t="shared" si="1051"/>
        <v>26611.533165816447</v>
      </c>
      <c r="AF287" s="132">
        <f t="shared" si="1051"/>
        <v>32787.263796951884</v>
      </c>
      <c r="AH287" s="103">
        <f>AI287+AJ287</f>
        <v>64607.614542580326</v>
      </c>
      <c r="AI287" s="132">
        <f t="shared" si="1052"/>
        <v>28945.159920357273</v>
      </c>
      <c r="AJ287" s="132">
        <f t="shared" si="1052"/>
        <v>35662.454622223049</v>
      </c>
      <c r="AL287" s="103">
        <f>AM287+AN287</f>
        <v>65253.690688006121</v>
      </c>
      <c r="AM287" s="132">
        <f t="shared" si="1053"/>
        <v>29234.611519560844</v>
      </c>
      <c r="AN287" s="132">
        <f t="shared" si="1053"/>
        <v>36019.079168445278</v>
      </c>
      <c r="AO287" s="165" t="s">
        <v>56</v>
      </c>
    </row>
    <row r="288" spans="1:41" x14ac:dyDescent="0.25">
      <c r="A288" s="131">
        <v>1</v>
      </c>
      <c r="B288" s="63">
        <v>100</v>
      </c>
      <c r="C288" s="63">
        <v>4000</v>
      </c>
      <c r="D288" s="63">
        <v>7300</v>
      </c>
      <c r="E288" s="63">
        <v>220</v>
      </c>
      <c r="F288" s="63" t="s">
        <v>47</v>
      </c>
      <c r="G288" s="88">
        <f>+'Payroll Input'!K118+'Payroll Input'!K135-G289-G290</f>
        <v>35822.327906400002</v>
      </c>
      <c r="H288" s="88">
        <f>+SUM('Payroll Input'!K106:K110)+SUM('Payroll Input'!K120:K126)-H289-H290</f>
        <v>18421.563079200001</v>
      </c>
      <c r="I288" s="88">
        <f>+SUM('Payroll Input'!K$112:K$117)+SUM('Payroll Input'!K$128:K$134)-I289-I290</f>
        <v>17400.764827200001</v>
      </c>
      <c r="J288" s="129" t="str">
        <f t="shared" ref="J288:J289" si="1056">IF(G288&gt;0.49,"*","")</f>
        <v>*</v>
      </c>
      <c r="L288" s="132">
        <f t="shared" ref="L288:L289" si="1057">IF(E288&lt;300,G288,0)</f>
        <v>35822.327906400002</v>
      </c>
      <c r="M288" s="132">
        <f t="shared" ref="M288:M289" si="1058">IF(E288&gt;299,G288,0)</f>
        <v>0</v>
      </c>
      <c r="N288" s="130"/>
      <c r="O288" s="136"/>
      <c r="P288" s="136">
        <f t="shared" ref="P288:P289" si="1059">IF(B288=490,G288,0)</f>
        <v>0</v>
      </c>
      <c r="Q288" s="136">
        <f t="shared" ref="Q288:Q289" si="1060">IF(B288=410,H288,0)</f>
        <v>0</v>
      </c>
      <c r="R288" s="136">
        <f t="shared" ref="R288:R289" si="1061">IF(B288=432,H288,0)</f>
        <v>0</v>
      </c>
      <c r="S288" s="136">
        <f t="shared" ref="S288:S289" si="1062">IF(B288=432,I288,0)</f>
        <v>0</v>
      </c>
      <c r="T288" s="136">
        <f t="shared" si="989"/>
        <v>0</v>
      </c>
      <c r="U288" s="136">
        <f t="shared" si="989"/>
        <v>0</v>
      </c>
      <c r="V288" s="136">
        <f t="shared" ref="V288:V289" si="1063">IF(B288=360,I288,0)</f>
        <v>0</v>
      </c>
      <c r="W288" s="136">
        <f t="shared" ref="W288:W289" si="1064">IF(B288=410,I288,0)</f>
        <v>0</v>
      </c>
      <c r="X288" s="130">
        <f t="shared" ref="X288:X289" si="1065">+W288+Q288-O288</f>
        <v>0</v>
      </c>
      <c r="Z288" s="132">
        <f t="shared" ref="Z288:Z289" si="1066">AA288+AB288</f>
        <v>44990.177897542351</v>
      </c>
      <c r="AA288" s="132">
        <f t="shared" ref="AA288:AB290" si="1067">SUM(AA$281:AA$284)*7.65%</f>
        <v>20156.260269158</v>
      </c>
      <c r="AB288" s="132">
        <f t="shared" si="1067"/>
        <v>24833.917628384348</v>
      </c>
      <c r="AC288" s="129"/>
      <c r="AD288" s="103">
        <f t="shared" ref="AD288:AD289" si="1068">AE288+AF288</f>
        <v>45440.079676517773</v>
      </c>
      <c r="AE288" s="132">
        <f t="shared" ref="AE288:AF290" si="1069">SUM(AE$281:AE$284)*7.65%</f>
        <v>20357.822871849581</v>
      </c>
      <c r="AF288" s="132">
        <f t="shared" si="1069"/>
        <v>25082.256804668192</v>
      </c>
      <c r="AG288" s="129"/>
      <c r="AH288" s="103">
        <f t="shared" ref="AH288:AH289" si="1070">AI288+AJ288</f>
        <v>49424.825125073941</v>
      </c>
      <c r="AI288" s="132">
        <f t="shared" ref="AI288:AJ290" si="1071">SUM(AI$281:AI$284)*7.65%</f>
        <v>22143.047339073313</v>
      </c>
      <c r="AJ288" s="132">
        <f t="shared" si="1071"/>
        <v>27281.777786000632</v>
      </c>
      <c r="AK288" s="129"/>
      <c r="AL288" s="103">
        <f t="shared" ref="AL288:AL289" si="1072">AM288+AN288</f>
        <v>49919.073376324683</v>
      </c>
      <c r="AM288" s="132">
        <f t="shared" ref="AM288:AN290" si="1073">SUM(AM$281:AM$284)*7.65%</f>
        <v>22364.477812464043</v>
      </c>
      <c r="AN288" s="132">
        <f t="shared" si="1073"/>
        <v>27554.595563860639</v>
      </c>
      <c r="AO288" s="165" t="s">
        <v>57</v>
      </c>
    </row>
    <row r="289" spans="1:41" hidden="1" x14ac:dyDescent="0.25">
      <c r="A289" s="131">
        <v>1</v>
      </c>
      <c r="B289" s="63">
        <v>432</v>
      </c>
      <c r="C289" s="63">
        <v>4000</v>
      </c>
      <c r="D289" s="63">
        <v>7300</v>
      </c>
      <c r="E289" s="63">
        <v>220</v>
      </c>
      <c r="F289" s="63" t="s">
        <v>47</v>
      </c>
      <c r="G289" s="88">
        <f>+H289+I289</f>
        <v>0</v>
      </c>
      <c r="H289" s="88">
        <v>0</v>
      </c>
      <c r="I289" s="88">
        <v>0</v>
      </c>
      <c r="J289" s="129" t="str">
        <f t="shared" si="1056"/>
        <v/>
      </c>
      <c r="L289" s="132">
        <f t="shared" si="1057"/>
        <v>0</v>
      </c>
      <c r="M289" s="132">
        <f t="shared" si="1058"/>
        <v>0</v>
      </c>
      <c r="N289" s="130"/>
      <c r="O289" s="136"/>
      <c r="P289" s="136">
        <f t="shared" si="1059"/>
        <v>0</v>
      </c>
      <c r="Q289" s="136">
        <f t="shared" si="1060"/>
        <v>0</v>
      </c>
      <c r="R289" s="136">
        <f t="shared" si="1061"/>
        <v>0</v>
      </c>
      <c r="S289" s="136">
        <f t="shared" si="1062"/>
        <v>0</v>
      </c>
      <c r="T289" s="136">
        <f t="shared" ref="T289" si="1074">IF($B289=435,H289,0)</f>
        <v>0</v>
      </c>
      <c r="U289" s="136">
        <f t="shared" ref="U289" si="1075">IF($B289=435,I289,0)</f>
        <v>0</v>
      </c>
      <c r="V289" s="136">
        <f t="shared" si="1063"/>
        <v>0</v>
      </c>
      <c r="W289" s="136">
        <f t="shared" si="1064"/>
        <v>0</v>
      </c>
      <c r="X289" s="130">
        <f t="shared" si="1065"/>
        <v>0</v>
      </c>
      <c r="Z289" s="132">
        <f t="shared" si="1066"/>
        <v>44990.177897542351</v>
      </c>
      <c r="AA289" s="132">
        <f t="shared" si="1067"/>
        <v>20156.260269158</v>
      </c>
      <c r="AB289" s="132">
        <f t="shared" si="1067"/>
        <v>24833.917628384348</v>
      </c>
      <c r="AC289" s="129"/>
      <c r="AD289" s="103">
        <f t="shared" si="1068"/>
        <v>45440.079676517773</v>
      </c>
      <c r="AE289" s="132">
        <f t="shared" si="1069"/>
        <v>20357.822871849581</v>
      </c>
      <c r="AF289" s="132">
        <f t="shared" si="1069"/>
        <v>25082.256804668192</v>
      </c>
      <c r="AG289" s="129"/>
      <c r="AH289" s="103">
        <f t="shared" si="1070"/>
        <v>49424.825125073941</v>
      </c>
      <c r="AI289" s="132">
        <f t="shared" si="1071"/>
        <v>22143.047339073313</v>
      </c>
      <c r="AJ289" s="132">
        <f t="shared" si="1071"/>
        <v>27281.777786000632</v>
      </c>
      <c r="AK289" s="129"/>
      <c r="AL289" s="103">
        <f t="shared" si="1072"/>
        <v>49919.073376324683</v>
      </c>
      <c r="AM289" s="132">
        <f t="shared" si="1073"/>
        <v>22364.477812464043</v>
      </c>
      <c r="AN289" s="132">
        <f t="shared" si="1073"/>
        <v>27554.595563860639</v>
      </c>
      <c r="AO289" s="165" t="s">
        <v>57</v>
      </c>
    </row>
    <row r="290" spans="1:41" hidden="1" x14ac:dyDescent="0.25">
      <c r="A290" s="131">
        <v>1</v>
      </c>
      <c r="B290" s="63">
        <v>435</v>
      </c>
      <c r="C290" s="63">
        <v>4000</v>
      </c>
      <c r="D290" s="63">
        <v>7300</v>
      </c>
      <c r="E290" s="63">
        <v>220</v>
      </c>
      <c r="F290" s="63" t="s">
        <v>47</v>
      </c>
      <c r="G290" s="88">
        <f>+H290+I290</f>
        <v>0</v>
      </c>
      <c r="H290" s="88">
        <v>0</v>
      </c>
      <c r="I290" s="88">
        <v>0</v>
      </c>
      <c r="J290" s="129" t="str">
        <f t="shared" si="901"/>
        <v/>
      </c>
      <c r="L290" s="132">
        <f t="shared" si="844"/>
        <v>0</v>
      </c>
      <c r="M290" s="132">
        <f t="shared" si="998"/>
        <v>0</v>
      </c>
      <c r="N290" s="130"/>
      <c r="O290" s="136"/>
      <c r="P290" s="136">
        <f t="shared" si="1004"/>
        <v>0</v>
      </c>
      <c r="Q290" s="136">
        <f t="shared" si="999"/>
        <v>0</v>
      </c>
      <c r="R290" s="136">
        <f t="shared" si="1000"/>
        <v>0</v>
      </c>
      <c r="S290" s="136">
        <f t="shared" si="1001"/>
        <v>0</v>
      </c>
      <c r="T290" s="136">
        <f t="shared" si="989"/>
        <v>0</v>
      </c>
      <c r="U290" s="136">
        <f t="shared" si="989"/>
        <v>0</v>
      </c>
      <c r="V290" s="136">
        <f t="shared" si="1002"/>
        <v>0</v>
      </c>
      <c r="W290" s="136">
        <f t="shared" si="1003"/>
        <v>0</v>
      </c>
      <c r="X290" s="130">
        <f t="shared" si="854"/>
        <v>0</v>
      </c>
      <c r="Z290" s="132">
        <f t="shared" si="1049"/>
        <v>44990.177897542351</v>
      </c>
      <c r="AA290" s="132">
        <f t="shared" si="1067"/>
        <v>20156.260269158</v>
      </c>
      <c r="AB290" s="132">
        <f t="shared" si="1067"/>
        <v>24833.917628384348</v>
      </c>
      <c r="AC290" s="129"/>
      <c r="AD290" s="103">
        <f t="shared" si="1006"/>
        <v>45440.079676517773</v>
      </c>
      <c r="AE290" s="132">
        <f t="shared" si="1069"/>
        <v>20357.822871849581</v>
      </c>
      <c r="AF290" s="132">
        <f t="shared" si="1069"/>
        <v>25082.256804668192</v>
      </c>
      <c r="AG290" s="129"/>
      <c r="AH290" s="103">
        <f t="shared" si="1008"/>
        <v>49424.825125073941</v>
      </c>
      <c r="AI290" s="132">
        <f t="shared" si="1071"/>
        <v>22143.047339073313</v>
      </c>
      <c r="AJ290" s="132">
        <f t="shared" si="1071"/>
        <v>27281.777786000632</v>
      </c>
      <c r="AK290" s="129"/>
      <c r="AL290" s="103">
        <f t="shared" si="1010"/>
        <v>49919.073376324683</v>
      </c>
      <c r="AM290" s="132">
        <f t="shared" si="1073"/>
        <v>22364.477812464043</v>
      </c>
      <c r="AN290" s="132">
        <f t="shared" si="1073"/>
        <v>27554.595563860639</v>
      </c>
      <c r="AO290" s="165" t="s">
        <v>57</v>
      </c>
    </row>
    <row r="291" spans="1:41" s="129" customFormat="1" x14ac:dyDescent="0.25">
      <c r="A291" s="131">
        <v>1</v>
      </c>
      <c r="B291" s="134">
        <v>100</v>
      </c>
      <c r="C291" s="134">
        <v>4000</v>
      </c>
      <c r="D291" s="134">
        <v>7300</v>
      </c>
      <c r="E291" s="134">
        <v>230</v>
      </c>
      <c r="F291" s="134" t="s">
        <v>49</v>
      </c>
      <c r="G291" s="88">
        <f>+'Payroll Input'!L118+'Payroll Input'!L135-G292-G293</f>
        <v>21744</v>
      </c>
      <c r="H291" s="88">
        <f>+SUM('Payroll Input'!L106:L110)+SUM('Payroll Input'!L120:L127)-H292-H293</f>
        <v>10147.200000000001</v>
      </c>
      <c r="I291" s="88">
        <f>+SUM('Payroll Input'!L$112:L$117)+SUM('Payroll Input'!L$128:L$134)-I292-I293</f>
        <v>11596.8</v>
      </c>
      <c r="J291" s="129" t="str">
        <f t="shared" ref="J291:J292" si="1076">IF(G291&gt;0.49,"*","")</f>
        <v>*</v>
      </c>
      <c r="L291" s="132">
        <f t="shared" ref="L291:L292" si="1077">IF(E291&lt;300,G291,0)</f>
        <v>21744</v>
      </c>
      <c r="M291" s="132">
        <f t="shared" ref="M291:M292" si="1078">IF(E291&gt;299,G291,0)</f>
        <v>0</v>
      </c>
      <c r="N291" s="130"/>
      <c r="O291" s="136"/>
      <c r="P291" s="136">
        <f t="shared" ref="P291:P292" si="1079">IF(B291=490,G291,0)</f>
        <v>0</v>
      </c>
      <c r="Q291" s="136">
        <f t="shared" ref="Q291:Q292" si="1080">IF(B291=410,H291,0)</f>
        <v>0</v>
      </c>
      <c r="R291" s="136">
        <f t="shared" ref="R291:R292" si="1081">IF(B291=432,H291,0)</f>
        <v>0</v>
      </c>
      <c r="S291" s="136">
        <f t="shared" ref="S291:S292" si="1082">IF(B291=432,I291,0)</f>
        <v>0</v>
      </c>
      <c r="T291" s="136">
        <f t="shared" si="989"/>
        <v>0</v>
      </c>
      <c r="U291" s="136">
        <f t="shared" si="989"/>
        <v>0</v>
      </c>
      <c r="V291" s="136">
        <f t="shared" ref="V291:V292" si="1083">IF(B291=360,I291,0)</f>
        <v>0</v>
      </c>
      <c r="W291" s="136">
        <f t="shared" ref="W291:W292" si="1084">IF(B291=410,I291,0)</f>
        <v>0</v>
      </c>
      <c r="X291" s="130">
        <f t="shared" ref="X291:X292" si="1085">+W291+Q291-O291</f>
        <v>0</v>
      </c>
      <c r="Z291" s="132">
        <f t="shared" ref="Z291:Z292" si="1086">AA291+AB291</f>
        <v>27653.378434782611</v>
      </c>
      <c r="AA291" s="132">
        <f t="shared" ref="AA291:AB297" si="1087">H291/SUM(H$281:H$284)*SUM(AA$281:AA$284)</f>
        <v>11102.728000000003</v>
      </c>
      <c r="AB291" s="132">
        <f t="shared" si="1087"/>
        <v>16550.650434782608</v>
      </c>
      <c r="AD291" s="103">
        <f t="shared" ref="AD291:AD292" si="1088">AE291+AF291</f>
        <v>27929.912219130434</v>
      </c>
      <c r="AE291" s="132">
        <f t="shared" ref="AE291:AF297" si="1089">AA291/SUM(AA$281:AA$284)*SUM(AE$281:AE$284)</f>
        <v>11213.755280000003</v>
      </c>
      <c r="AF291" s="132">
        <f t="shared" si="1089"/>
        <v>16716.156939130433</v>
      </c>
      <c r="AH291" s="103">
        <f t="shared" ref="AH291:AH292" si="1090">AI291+AJ291</f>
        <v>30379.150675269564</v>
      </c>
      <c r="AI291" s="132">
        <f t="shared" ref="AI291:AJ297" si="1091">AE291/SUM(AE$281:AE$284)*SUM(AI$281:AI$284)</f>
        <v>12197.115358400004</v>
      </c>
      <c r="AJ291" s="132">
        <f t="shared" si="1091"/>
        <v>18182.035316869562</v>
      </c>
      <c r="AL291" s="103">
        <f t="shared" ref="AL291:AL292" si="1092">AM291+AN291</f>
        <v>30682.94218202226</v>
      </c>
      <c r="AM291" s="132">
        <f t="shared" ref="AM291:AN297" si="1093">AI291/SUM(AI$281:AI$284)*SUM(AM$281:AM$284)</f>
        <v>12319.086511984002</v>
      </c>
      <c r="AN291" s="132">
        <f t="shared" si="1093"/>
        <v>18363.855670038258</v>
      </c>
      <c r="AO291" s="165" t="s">
        <v>50</v>
      </c>
    </row>
    <row r="292" spans="1:41" s="129" customFormat="1" hidden="1" x14ac:dyDescent="0.25">
      <c r="A292" s="131">
        <v>1</v>
      </c>
      <c r="B292" s="134">
        <v>432</v>
      </c>
      <c r="C292" s="134">
        <v>4000</v>
      </c>
      <c r="D292" s="134">
        <v>7300</v>
      </c>
      <c r="E292" s="134">
        <v>230</v>
      </c>
      <c r="F292" s="134" t="s">
        <v>49</v>
      </c>
      <c r="G292" s="88">
        <f>+H292+I292</f>
        <v>0</v>
      </c>
      <c r="H292" s="88">
        <v>0</v>
      </c>
      <c r="I292" s="88">
        <v>0</v>
      </c>
      <c r="J292" s="129" t="str">
        <f t="shared" si="1076"/>
        <v/>
      </c>
      <c r="L292" s="132">
        <f t="shared" si="1077"/>
        <v>0</v>
      </c>
      <c r="M292" s="132">
        <f t="shared" si="1078"/>
        <v>0</v>
      </c>
      <c r="N292" s="130"/>
      <c r="O292" s="136"/>
      <c r="P292" s="136">
        <f t="shared" si="1079"/>
        <v>0</v>
      </c>
      <c r="Q292" s="136">
        <f t="shared" si="1080"/>
        <v>0</v>
      </c>
      <c r="R292" s="136">
        <f t="shared" si="1081"/>
        <v>0</v>
      </c>
      <c r="S292" s="136">
        <f t="shared" si="1082"/>
        <v>0</v>
      </c>
      <c r="T292" s="136">
        <f t="shared" ref="T292" si="1094">IF($B292=435,H292,0)</f>
        <v>0</v>
      </c>
      <c r="U292" s="136">
        <f t="shared" ref="U292" si="1095">IF($B292=435,I292,0)</f>
        <v>0</v>
      </c>
      <c r="V292" s="136">
        <f t="shared" si="1083"/>
        <v>0</v>
      </c>
      <c r="W292" s="136">
        <f t="shared" si="1084"/>
        <v>0</v>
      </c>
      <c r="X292" s="130">
        <f t="shared" si="1085"/>
        <v>0</v>
      </c>
      <c r="Z292" s="132">
        <f t="shared" si="1086"/>
        <v>0</v>
      </c>
      <c r="AA292" s="132">
        <f t="shared" si="1087"/>
        <v>0</v>
      </c>
      <c r="AB292" s="132">
        <f t="shared" si="1087"/>
        <v>0</v>
      </c>
      <c r="AD292" s="103">
        <f t="shared" si="1088"/>
        <v>0</v>
      </c>
      <c r="AE292" s="132">
        <f t="shared" si="1089"/>
        <v>0</v>
      </c>
      <c r="AF292" s="132">
        <f t="shared" si="1089"/>
        <v>0</v>
      </c>
      <c r="AH292" s="103">
        <f t="shared" si="1090"/>
        <v>0</v>
      </c>
      <c r="AI292" s="132">
        <f t="shared" si="1091"/>
        <v>0</v>
      </c>
      <c r="AJ292" s="132">
        <f t="shared" si="1091"/>
        <v>0</v>
      </c>
      <c r="AL292" s="103">
        <f t="shared" si="1092"/>
        <v>0</v>
      </c>
      <c r="AM292" s="132">
        <f t="shared" si="1093"/>
        <v>0</v>
      </c>
      <c r="AN292" s="132">
        <f t="shared" si="1093"/>
        <v>0</v>
      </c>
      <c r="AO292" s="165" t="s">
        <v>50</v>
      </c>
    </row>
    <row r="293" spans="1:41" s="1" customFormat="1" hidden="1" x14ac:dyDescent="0.25">
      <c r="A293" s="131">
        <v>1</v>
      </c>
      <c r="B293" s="134">
        <v>435</v>
      </c>
      <c r="C293" s="134">
        <v>4000</v>
      </c>
      <c r="D293" s="134">
        <v>7300</v>
      </c>
      <c r="E293" s="134">
        <v>230</v>
      </c>
      <c r="F293" s="134" t="s">
        <v>49</v>
      </c>
      <c r="G293" s="88">
        <f>+H293+I293</f>
        <v>0</v>
      </c>
      <c r="H293" s="88">
        <v>0</v>
      </c>
      <c r="I293" s="88">
        <v>0</v>
      </c>
      <c r="J293" s="129" t="str">
        <f t="shared" si="901"/>
        <v/>
      </c>
      <c r="K293" s="129"/>
      <c r="L293" s="132">
        <f t="shared" si="844"/>
        <v>0</v>
      </c>
      <c r="M293" s="132">
        <f t="shared" si="998"/>
        <v>0</v>
      </c>
      <c r="N293" s="130"/>
      <c r="O293" s="136"/>
      <c r="P293" s="136">
        <f t="shared" si="1004"/>
        <v>0</v>
      </c>
      <c r="Q293" s="136">
        <f t="shared" si="999"/>
        <v>0</v>
      </c>
      <c r="R293" s="136">
        <f t="shared" si="1000"/>
        <v>0</v>
      </c>
      <c r="S293" s="136">
        <f t="shared" si="1001"/>
        <v>0</v>
      </c>
      <c r="T293" s="136">
        <f t="shared" si="989"/>
        <v>0</v>
      </c>
      <c r="U293" s="136">
        <f t="shared" si="989"/>
        <v>0</v>
      </c>
      <c r="V293" s="136">
        <f t="shared" si="1002"/>
        <v>0</v>
      </c>
      <c r="W293" s="136">
        <f t="shared" si="1003"/>
        <v>0</v>
      </c>
      <c r="X293" s="130">
        <f t="shared" si="854"/>
        <v>0</v>
      </c>
      <c r="Y293" s="129"/>
      <c r="Z293" s="132">
        <f t="shared" si="1049"/>
        <v>0</v>
      </c>
      <c r="AA293" s="132">
        <f t="shared" si="1087"/>
        <v>0</v>
      </c>
      <c r="AB293" s="132">
        <f t="shared" si="1087"/>
        <v>0</v>
      </c>
      <c r="AC293" s="129"/>
      <c r="AD293" s="103">
        <f t="shared" si="1006"/>
        <v>0</v>
      </c>
      <c r="AE293" s="132">
        <f t="shared" si="1089"/>
        <v>0</v>
      </c>
      <c r="AF293" s="132">
        <f t="shared" si="1089"/>
        <v>0</v>
      </c>
      <c r="AG293" s="129"/>
      <c r="AH293" s="103">
        <f t="shared" si="1008"/>
        <v>0</v>
      </c>
      <c r="AI293" s="132">
        <f t="shared" si="1091"/>
        <v>0</v>
      </c>
      <c r="AJ293" s="132">
        <f t="shared" si="1091"/>
        <v>0</v>
      </c>
      <c r="AK293" s="129"/>
      <c r="AL293" s="103">
        <f t="shared" si="1010"/>
        <v>0</v>
      </c>
      <c r="AM293" s="132">
        <f t="shared" si="1093"/>
        <v>0</v>
      </c>
      <c r="AN293" s="132">
        <f t="shared" si="1093"/>
        <v>0</v>
      </c>
      <c r="AO293" s="165" t="s">
        <v>50</v>
      </c>
    </row>
    <row r="294" spans="1:41" x14ac:dyDescent="0.25">
      <c r="A294" s="131">
        <v>1</v>
      </c>
      <c r="B294" s="63">
        <v>100</v>
      </c>
      <c r="C294" s="63">
        <v>4000</v>
      </c>
      <c r="D294" s="63">
        <v>7300</v>
      </c>
      <c r="E294" s="63">
        <v>240</v>
      </c>
      <c r="F294" s="63" t="s">
        <v>51</v>
      </c>
      <c r="G294" s="88">
        <f>+'Payroll Input'!N118+'Payroll Input'!N135-G295-G296</f>
        <v>2013.5426143466666</v>
      </c>
      <c r="H294" s="88">
        <f>+SUM('Payroll Input'!N106:N110)+SUM('Payroll Input'!N120:N126)-H295-H296</f>
        <v>1035.4604083733334</v>
      </c>
      <c r="I294" s="88">
        <f>+SUM('Payroll Input'!N$112:N$117)+SUM('Payroll Input'!N$128:N$134)-I295-I296</f>
        <v>978.08220597333332</v>
      </c>
      <c r="J294" s="129" t="str">
        <f t="shared" si="901"/>
        <v>*</v>
      </c>
      <c r="L294" s="132">
        <f t="shared" si="844"/>
        <v>2013.5426143466666</v>
      </c>
      <c r="M294" s="132">
        <f t="shared" si="998"/>
        <v>0</v>
      </c>
      <c r="N294" s="130"/>
      <c r="O294" s="136"/>
      <c r="P294" s="136">
        <f t="shared" si="1004"/>
        <v>0</v>
      </c>
      <c r="Q294" s="136">
        <f t="shared" si="999"/>
        <v>0</v>
      </c>
      <c r="R294" s="136">
        <f t="shared" si="1000"/>
        <v>0</v>
      </c>
      <c r="S294" s="136">
        <f t="shared" si="1001"/>
        <v>0</v>
      </c>
      <c r="T294" s="136">
        <f t="shared" si="989"/>
        <v>0</v>
      </c>
      <c r="U294" s="136">
        <f t="shared" si="989"/>
        <v>0</v>
      </c>
      <c r="V294" s="136">
        <f t="shared" si="1002"/>
        <v>0</v>
      </c>
      <c r="W294" s="136">
        <f t="shared" si="1003"/>
        <v>0</v>
      </c>
      <c r="X294" s="130">
        <f t="shared" si="854"/>
        <v>0</v>
      </c>
      <c r="Z294" s="132">
        <f t="shared" si="1049"/>
        <v>2528.8596726723154</v>
      </c>
      <c r="AA294" s="132">
        <f t="shared" si="1087"/>
        <v>1132.9662634951558</v>
      </c>
      <c r="AB294" s="132">
        <f t="shared" si="1087"/>
        <v>1395.8934091771594</v>
      </c>
      <c r="AC294" s="129"/>
      <c r="AD294" s="103">
        <f t="shared" si="1006"/>
        <v>2554.1482693990383</v>
      </c>
      <c r="AE294" s="132">
        <f t="shared" si="1089"/>
        <v>1144.2959261301073</v>
      </c>
      <c r="AF294" s="132">
        <f t="shared" si="1089"/>
        <v>1409.852343268931</v>
      </c>
      <c r="AG294" s="129"/>
      <c r="AH294" s="103">
        <f t="shared" si="1008"/>
        <v>2778.1274253309539</v>
      </c>
      <c r="AI294" s="132">
        <f t="shared" si="1091"/>
        <v>1244.6418765753629</v>
      </c>
      <c r="AJ294" s="132">
        <f t="shared" si="1091"/>
        <v>1533.485548755591</v>
      </c>
      <c r="AK294" s="129"/>
      <c r="AL294" s="103">
        <f t="shared" si="1010"/>
        <v>2805.9086995842636</v>
      </c>
      <c r="AM294" s="132">
        <f t="shared" si="1093"/>
        <v>1257.0882953411165</v>
      </c>
      <c r="AN294" s="132">
        <f t="shared" si="1093"/>
        <v>1548.8204042431471</v>
      </c>
      <c r="AO294" s="165" t="s">
        <v>50</v>
      </c>
    </row>
    <row r="295" spans="1:41" hidden="1" x14ac:dyDescent="0.25">
      <c r="A295" s="131">
        <v>1</v>
      </c>
      <c r="B295" s="63">
        <v>432</v>
      </c>
      <c r="C295" s="63">
        <v>4000</v>
      </c>
      <c r="D295" s="63">
        <v>7300</v>
      </c>
      <c r="E295" s="63">
        <v>240</v>
      </c>
      <c r="F295" s="63" t="s">
        <v>51</v>
      </c>
      <c r="G295" s="88">
        <f>+H295+I295</f>
        <v>0</v>
      </c>
      <c r="H295" s="88">
        <v>0</v>
      </c>
      <c r="I295" s="88">
        <v>0</v>
      </c>
      <c r="J295" s="129" t="str">
        <f t="shared" si="901"/>
        <v/>
      </c>
      <c r="L295" s="132">
        <f t="shared" si="844"/>
        <v>0</v>
      </c>
      <c r="M295" s="132">
        <f t="shared" si="998"/>
        <v>0</v>
      </c>
      <c r="N295" s="130"/>
      <c r="O295" s="136"/>
      <c r="P295" s="136">
        <f t="shared" si="1004"/>
        <v>0</v>
      </c>
      <c r="Q295" s="136">
        <f t="shared" si="999"/>
        <v>0</v>
      </c>
      <c r="R295" s="136">
        <f t="shared" si="1000"/>
        <v>0</v>
      </c>
      <c r="S295" s="136">
        <f t="shared" si="1001"/>
        <v>0</v>
      </c>
      <c r="T295" s="136">
        <f t="shared" ref="T295" si="1096">IF($B295=435,H295,0)</f>
        <v>0</v>
      </c>
      <c r="U295" s="136">
        <f t="shared" ref="U295" si="1097">IF($B295=435,I295,0)</f>
        <v>0</v>
      </c>
      <c r="V295" s="136">
        <f t="shared" si="1002"/>
        <v>0</v>
      </c>
      <c r="W295" s="136">
        <f t="shared" si="1003"/>
        <v>0</v>
      </c>
      <c r="X295" s="130">
        <f t="shared" si="854"/>
        <v>0</v>
      </c>
      <c r="Z295" s="132">
        <f t="shared" si="1049"/>
        <v>0</v>
      </c>
      <c r="AA295" s="132">
        <f t="shared" si="1087"/>
        <v>0</v>
      </c>
      <c r="AB295" s="132">
        <f t="shared" si="1087"/>
        <v>0</v>
      </c>
      <c r="AC295" s="129"/>
      <c r="AD295" s="103">
        <f t="shared" si="1006"/>
        <v>0</v>
      </c>
      <c r="AE295" s="132">
        <f t="shared" si="1089"/>
        <v>0</v>
      </c>
      <c r="AF295" s="132">
        <f t="shared" si="1089"/>
        <v>0</v>
      </c>
      <c r="AG295" s="129"/>
      <c r="AH295" s="103">
        <f t="shared" si="1008"/>
        <v>0</v>
      </c>
      <c r="AI295" s="132">
        <f t="shared" si="1091"/>
        <v>0</v>
      </c>
      <c r="AJ295" s="132">
        <f t="shared" si="1091"/>
        <v>0</v>
      </c>
      <c r="AK295" s="129"/>
      <c r="AL295" s="103">
        <f t="shared" si="1010"/>
        <v>0</v>
      </c>
      <c r="AM295" s="132">
        <f t="shared" si="1093"/>
        <v>0</v>
      </c>
      <c r="AN295" s="132">
        <f t="shared" si="1093"/>
        <v>0</v>
      </c>
      <c r="AO295" s="165" t="s">
        <v>50</v>
      </c>
    </row>
    <row r="296" spans="1:41" hidden="1" x14ac:dyDescent="0.25">
      <c r="A296" s="131">
        <v>1</v>
      </c>
      <c r="B296" s="63">
        <v>435</v>
      </c>
      <c r="C296" s="63">
        <v>4000</v>
      </c>
      <c r="D296" s="63">
        <v>7300</v>
      </c>
      <c r="E296" s="63">
        <v>240</v>
      </c>
      <c r="F296" s="63" t="s">
        <v>51</v>
      </c>
      <c r="G296" s="88">
        <f>+H296+I296</f>
        <v>0</v>
      </c>
      <c r="H296" s="88">
        <v>0</v>
      </c>
      <c r="I296" s="88">
        <v>0</v>
      </c>
      <c r="J296" s="129" t="str">
        <f t="shared" ref="J296" si="1098">IF(G296&gt;0.49,"*","")</f>
        <v/>
      </c>
      <c r="L296" s="132">
        <f t="shared" ref="L296" si="1099">IF(E296&lt;300,G296,0)</f>
        <v>0</v>
      </c>
      <c r="M296" s="132">
        <f t="shared" ref="M296" si="1100">IF(E296&gt;299,G296,0)</f>
        <v>0</v>
      </c>
      <c r="N296" s="130"/>
      <c r="O296" s="136"/>
      <c r="P296" s="136">
        <f t="shared" ref="P296" si="1101">IF(B296=490,G296,0)</f>
        <v>0</v>
      </c>
      <c r="Q296" s="136">
        <f t="shared" ref="Q296" si="1102">IF(B296=410,H296,0)</f>
        <v>0</v>
      </c>
      <c r="R296" s="136">
        <f t="shared" ref="R296" si="1103">IF(B296=432,H296,0)</f>
        <v>0</v>
      </c>
      <c r="S296" s="136">
        <f t="shared" ref="S296" si="1104">IF(B296=432,I296,0)</f>
        <v>0</v>
      </c>
      <c r="T296" s="136">
        <f t="shared" si="989"/>
        <v>0</v>
      </c>
      <c r="U296" s="136">
        <f t="shared" si="989"/>
        <v>0</v>
      </c>
      <c r="V296" s="136">
        <f t="shared" ref="V296" si="1105">IF(B296=360,I296,0)</f>
        <v>0</v>
      </c>
      <c r="W296" s="136">
        <f t="shared" ref="W296" si="1106">IF(B296=410,I296,0)</f>
        <v>0</v>
      </c>
      <c r="X296" s="130">
        <f t="shared" ref="X296" si="1107">+W296+Q296-O296</f>
        <v>0</v>
      </c>
      <c r="Z296" s="132">
        <f t="shared" ref="Z296" si="1108">AA296+AB296</f>
        <v>0</v>
      </c>
      <c r="AA296" s="132">
        <f t="shared" si="1087"/>
        <v>0</v>
      </c>
      <c r="AB296" s="132">
        <f t="shared" si="1087"/>
        <v>0</v>
      </c>
      <c r="AC296" s="129"/>
      <c r="AD296" s="103">
        <f t="shared" ref="AD296" si="1109">AE296+AF296</f>
        <v>0</v>
      </c>
      <c r="AE296" s="132">
        <f t="shared" si="1089"/>
        <v>0</v>
      </c>
      <c r="AF296" s="132">
        <f t="shared" si="1089"/>
        <v>0</v>
      </c>
      <c r="AG296" s="129"/>
      <c r="AH296" s="103">
        <f t="shared" ref="AH296" si="1110">AI296+AJ296</f>
        <v>0</v>
      </c>
      <c r="AI296" s="132">
        <f t="shared" si="1091"/>
        <v>0</v>
      </c>
      <c r="AJ296" s="132">
        <f t="shared" si="1091"/>
        <v>0</v>
      </c>
      <c r="AK296" s="129"/>
      <c r="AL296" s="103">
        <f t="shared" ref="AL296" si="1111">AM296+AN296</f>
        <v>0</v>
      </c>
      <c r="AM296" s="132">
        <f t="shared" si="1093"/>
        <v>0</v>
      </c>
      <c r="AN296" s="132">
        <f t="shared" si="1093"/>
        <v>0</v>
      </c>
      <c r="AO296" s="165" t="s">
        <v>50</v>
      </c>
    </row>
    <row r="297" spans="1:41" x14ac:dyDescent="0.25">
      <c r="A297" s="131">
        <v>1</v>
      </c>
      <c r="B297" s="63">
        <v>100</v>
      </c>
      <c r="C297" s="63">
        <v>4000</v>
      </c>
      <c r="D297" s="63">
        <v>7300</v>
      </c>
      <c r="E297" s="63">
        <v>250</v>
      </c>
      <c r="F297" s="63" t="s">
        <v>52</v>
      </c>
      <c r="G297" s="88">
        <f>+'Payroll Input'!O118+'Payroll Input'!O135-G298</f>
        <v>217.00000000000003</v>
      </c>
      <c r="H297" s="88">
        <f>+SUM('Payroll Input'!O106:O110)+SUM('Payroll Input'!O120:O126)-H298</f>
        <v>110.6</v>
      </c>
      <c r="I297" s="88">
        <f>+SUM('Payroll Input'!O$112:O$117)+SUM('Payroll Input'!O$128:O$134)-I298</f>
        <v>106.4</v>
      </c>
      <c r="J297" s="129" t="str">
        <f t="shared" si="901"/>
        <v>*</v>
      </c>
      <c r="L297" s="132">
        <f t="shared" si="844"/>
        <v>217.00000000000003</v>
      </c>
      <c r="M297" s="132">
        <f t="shared" si="998"/>
        <v>0</v>
      </c>
      <c r="N297" s="130"/>
      <c r="O297" s="136"/>
      <c r="P297" s="136">
        <f t="shared" si="1004"/>
        <v>0</v>
      </c>
      <c r="Q297" s="136">
        <f t="shared" si="999"/>
        <v>0</v>
      </c>
      <c r="R297" s="136">
        <f t="shared" si="1000"/>
        <v>0</v>
      </c>
      <c r="S297" s="136">
        <f t="shared" si="1001"/>
        <v>0</v>
      </c>
      <c r="T297" s="136">
        <f t="shared" si="989"/>
        <v>0</v>
      </c>
      <c r="U297" s="136">
        <f t="shared" si="989"/>
        <v>0</v>
      </c>
      <c r="V297" s="136">
        <f t="shared" si="1002"/>
        <v>0</v>
      </c>
      <c r="W297" s="136">
        <f t="shared" si="1003"/>
        <v>0</v>
      </c>
      <c r="X297" s="130">
        <f t="shared" si="854"/>
        <v>0</v>
      </c>
      <c r="Z297" s="132">
        <f t="shared" si="1049"/>
        <v>272.86613768115944</v>
      </c>
      <c r="AA297" s="132">
        <f t="shared" si="1087"/>
        <v>121.01483333333334</v>
      </c>
      <c r="AB297" s="132">
        <f t="shared" si="1087"/>
        <v>151.8513043478261</v>
      </c>
      <c r="AC297" s="129"/>
      <c r="AD297" s="103">
        <f t="shared" si="1006"/>
        <v>275.59479905797104</v>
      </c>
      <c r="AE297" s="132">
        <f t="shared" si="1089"/>
        <v>122.22498166666668</v>
      </c>
      <c r="AF297" s="132">
        <f t="shared" si="1089"/>
        <v>153.36981739130437</v>
      </c>
      <c r="AG297" s="129"/>
      <c r="AH297" s="103">
        <f t="shared" si="1008"/>
        <v>299.76234297536234</v>
      </c>
      <c r="AI297" s="132">
        <f t="shared" si="1091"/>
        <v>132.94317236666669</v>
      </c>
      <c r="AJ297" s="132">
        <f t="shared" si="1091"/>
        <v>166.81917060869566</v>
      </c>
      <c r="AK297" s="129"/>
      <c r="AL297" s="103">
        <f t="shared" si="1010"/>
        <v>302.75996640511596</v>
      </c>
      <c r="AM297" s="132">
        <f t="shared" si="1093"/>
        <v>134.27260409033332</v>
      </c>
      <c r="AN297" s="132">
        <f t="shared" si="1093"/>
        <v>168.48736231478262</v>
      </c>
      <c r="AO297" s="165" t="s">
        <v>50</v>
      </c>
    </row>
    <row r="298" spans="1:41" hidden="1" x14ac:dyDescent="0.25">
      <c r="A298" s="131">
        <v>1</v>
      </c>
      <c r="B298" s="63">
        <v>435</v>
      </c>
      <c r="C298" s="63">
        <v>4000</v>
      </c>
      <c r="D298" s="63">
        <v>7300</v>
      </c>
      <c r="E298" s="63">
        <v>250</v>
      </c>
      <c r="F298" s="63" t="s">
        <v>52</v>
      </c>
      <c r="G298" s="88">
        <f>+H298+I298</f>
        <v>0</v>
      </c>
      <c r="H298" s="88">
        <v>0</v>
      </c>
      <c r="I298" s="88">
        <v>0</v>
      </c>
      <c r="J298" s="129" t="str">
        <f t="shared" ref="J298" si="1112">IF(G298&gt;0.49,"*","")</f>
        <v/>
      </c>
      <c r="L298" s="132">
        <f t="shared" ref="L298" si="1113">IF(E298&lt;300,G298,0)</f>
        <v>0</v>
      </c>
      <c r="M298" s="132">
        <f t="shared" ref="M298" si="1114">IF(E298&gt;299,G298,0)</f>
        <v>0</v>
      </c>
      <c r="N298" s="130"/>
      <c r="O298" s="136"/>
      <c r="P298" s="136">
        <f t="shared" ref="P298" si="1115">IF(B298=490,G298,0)</f>
        <v>0</v>
      </c>
      <c r="Q298" s="136">
        <f t="shared" ref="Q298" si="1116">IF(B298=410,H298,0)</f>
        <v>0</v>
      </c>
      <c r="R298" s="136">
        <f t="shared" ref="R298" si="1117">IF(B298=432,H298,0)</f>
        <v>0</v>
      </c>
      <c r="S298" s="136">
        <f t="shared" ref="S298" si="1118">IF(B298=432,I298,0)</f>
        <v>0</v>
      </c>
      <c r="T298" s="136">
        <f t="shared" si="989"/>
        <v>0</v>
      </c>
      <c r="U298" s="136">
        <f t="shared" si="989"/>
        <v>0</v>
      </c>
      <c r="V298" s="136">
        <f t="shared" ref="V298" si="1119">IF(B298=360,I298,0)</f>
        <v>0</v>
      </c>
      <c r="W298" s="136">
        <f t="shared" ref="W298" si="1120">IF(B298=410,I298,0)</f>
        <v>0</v>
      </c>
      <c r="X298" s="130">
        <f t="shared" ref="X298" si="1121">+W298+Q298-O298</f>
        <v>0</v>
      </c>
      <c r="Z298" s="132">
        <f t="shared" ref="Z298" si="1122">AA298+AB298</f>
        <v>0</v>
      </c>
      <c r="AA298" s="132">
        <f t="shared" ref="AA298" si="1123">H298/SUM(H$281:H$284)*SUM(AA$281:AA$284)</f>
        <v>0</v>
      </c>
      <c r="AB298" s="132">
        <f t="shared" ref="AB298" si="1124">I298/SUM(I$281:I$284)*SUM(AB$281:AB$284)</f>
        <v>0</v>
      </c>
      <c r="AC298" s="129"/>
      <c r="AD298" s="103">
        <f t="shared" ref="AD298" si="1125">AE298+AF298</f>
        <v>0</v>
      </c>
      <c r="AE298" s="132">
        <f t="shared" ref="AE298" si="1126">AA298/SUM(AA$281:AA$284)*SUM(AE$281:AE$284)</f>
        <v>0</v>
      </c>
      <c r="AF298" s="132">
        <f t="shared" ref="AF298" si="1127">AB298/SUM(AB$281:AB$284)*SUM(AF$281:AF$284)</f>
        <v>0</v>
      </c>
      <c r="AG298" s="129"/>
      <c r="AH298" s="103">
        <f t="shared" ref="AH298" si="1128">AI298+AJ298</f>
        <v>0</v>
      </c>
      <c r="AI298" s="132">
        <f t="shared" ref="AI298" si="1129">AE298/SUM(AE$281:AE$284)*SUM(AI$281:AI$284)</f>
        <v>0</v>
      </c>
      <c r="AJ298" s="132">
        <f t="shared" ref="AJ298" si="1130">AF298/SUM(AF$281:AF$284)*SUM(AJ$281:AJ$284)</f>
        <v>0</v>
      </c>
      <c r="AK298" s="129"/>
      <c r="AL298" s="103">
        <f t="shared" ref="AL298" si="1131">AM298+AN298</f>
        <v>0</v>
      </c>
      <c r="AM298" s="132">
        <f t="shared" ref="AM298" si="1132">AI298/SUM(AI$281:AI$284)*SUM(AM$281:AM$284)</f>
        <v>0</v>
      </c>
      <c r="AN298" s="132">
        <f t="shared" ref="AN298" si="1133">AJ298/SUM(AJ$281:AJ$284)*SUM(AN$281:AN$284)</f>
        <v>0</v>
      </c>
      <c r="AO298" s="165" t="s">
        <v>50</v>
      </c>
    </row>
    <row r="299" spans="1:41" ht="13.2" hidden="1" customHeight="1" x14ac:dyDescent="0.25">
      <c r="A299" s="131"/>
      <c r="B299" s="63">
        <f>'Expense Input'!B75</f>
        <v>100</v>
      </c>
      <c r="C299" s="63">
        <f>'Expense Input'!C75</f>
        <v>4000</v>
      </c>
      <c r="D299" s="63">
        <f>'Expense Input'!D75</f>
        <v>7300</v>
      </c>
      <c r="E299" s="63">
        <f>'Expense Input'!E75</f>
        <v>310</v>
      </c>
      <c r="F299" s="63" t="str">
        <f>'Expense Input'!F75</f>
        <v>Administrative Contracted Services</v>
      </c>
      <c r="G299" s="88">
        <f>'Expense Input'!Q75</f>
        <v>0</v>
      </c>
      <c r="H299" s="88">
        <f>'Expense Input'!R75</f>
        <v>0</v>
      </c>
      <c r="I299" s="88">
        <f>'Expense Input'!S75</f>
        <v>0</v>
      </c>
      <c r="J299" s="129" t="str">
        <f t="shared" si="901"/>
        <v/>
      </c>
      <c r="L299" s="132">
        <f t="shared" ref="L299" si="1134">IF(E299&lt;300,G299,0)</f>
        <v>0</v>
      </c>
      <c r="M299" s="132">
        <f t="shared" ref="M299" si="1135">IF(E299&gt;299,G299,0)</f>
        <v>0</v>
      </c>
      <c r="N299" s="130"/>
      <c r="O299" s="136"/>
      <c r="P299" s="136">
        <f t="shared" si="1004"/>
        <v>0</v>
      </c>
      <c r="Q299" s="136">
        <f t="shared" si="999"/>
        <v>0</v>
      </c>
      <c r="R299" s="136">
        <f t="shared" si="1000"/>
        <v>0</v>
      </c>
      <c r="S299" s="136">
        <f t="shared" si="1001"/>
        <v>0</v>
      </c>
      <c r="T299" s="136">
        <f t="shared" si="989"/>
        <v>0</v>
      </c>
      <c r="U299" s="136">
        <f t="shared" si="989"/>
        <v>0</v>
      </c>
      <c r="V299" s="136">
        <f t="shared" si="1002"/>
        <v>0</v>
      </c>
      <c r="W299" s="136">
        <f t="shared" si="1003"/>
        <v>0</v>
      </c>
      <c r="X299" s="130">
        <f t="shared" ref="X299" si="1136">+W299+Q299-O299</f>
        <v>0</v>
      </c>
      <c r="Z299" s="64">
        <f>AA299+AB299</f>
        <v>0</v>
      </c>
      <c r="AA299" s="64">
        <f t="shared" ref="AA299:AA314" si="1137">+H299*Inf</f>
        <v>0</v>
      </c>
      <c r="AB299" s="64">
        <f t="shared" ref="AB299:AB314" si="1138">+I299*Inf</f>
        <v>0</v>
      </c>
      <c r="AD299" s="64">
        <f>AE299+AF299</f>
        <v>0</v>
      </c>
      <c r="AE299" s="64">
        <f t="shared" ref="AE299:AE314" si="1139">+AA299*Inf</f>
        <v>0</v>
      </c>
      <c r="AF299" s="64">
        <f t="shared" ref="AF299:AF314" si="1140">+AB299*Inf</f>
        <v>0</v>
      </c>
      <c r="AH299" s="64">
        <f>AI299+AJ299</f>
        <v>0</v>
      </c>
      <c r="AI299" s="64">
        <f t="shared" ref="AI299:AI314" si="1141">+AE299*Inf</f>
        <v>0</v>
      </c>
      <c r="AJ299" s="64">
        <f t="shared" ref="AJ299:AJ314" si="1142">+AF299*Inf</f>
        <v>0</v>
      </c>
      <c r="AL299" s="64">
        <f>AM299+AN299</f>
        <v>0</v>
      </c>
      <c r="AM299" s="64">
        <f t="shared" ref="AM299:AM314" si="1143">+AI299*Inf</f>
        <v>0</v>
      </c>
      <c r="AN299" s="64">
        <f t="shared" ref="AN299:AN314" si="1144">+AJ299*Inf</f>
        <v>0</v>
      </c>
      <c r="AO299" s="165" t="s">
        <v>35</v>
      </c>
    </row>
    <row r="300" spans="1:41" x14ac:dyDescent="0.25">
      <c r="A300" s="131"/>
      <c r="B300" s="63">
        <f>'Expense Input'!B76</f>
        <v>100</v>
      </c>
      <c r="C300" s="63">
        <f>'Expense Input'!C76</f>
        <v>4000</v>
      </c>
      <c r="D300" s="63">
        <f>'Expense Input'!D76</f>
        <v>7300</v>
      </c>
      <c r="E300" s="63">
        <f>'Expense Input'!E76</f>
        <v>330</v>
      </c>
      <c r="F300" s="63" t="str">
        <f>'Expense Input'!F76</f>
        <v>Travel / Conferences / Workshops</v>
      </c>
      <c r="G300" s="88">
        <f>'Expense Input'!Q76</f>
        <v>5193.514266666667</v>
      </c>
      <c r="H300" s="88">
        <f>'Expense Input'!R76</f>
        <v>2699.420266666667</v>
      </c>
      <c r="I300" s="88">
        <f>'Expense Input'!S76</f>
        <v>2494.0940000000001</v>
      </c>
      <c r="J300" s="129" t="str">
        <f t="shared" ref="J300" si="1145">IF(G300&gt;0.49,"*","")</f>
        <v>*</v>
      </c>
      <c r="L300" s="132">
        <f t="shared" si="844"/>
        <v>0</v>
      </c>
      <c r="M300" s="132">
        <f t="shared" si="998"/>
        <v>5193.514266666667</v>
      </c>
      <c r="N300" s="130"/>
      <c r="O300" s="136"/>
      <c r="P300" s="136">
        <f t="shared" si="1004"/>
        <v>0</v>
      </c>
      <c r="Q300" s="136">
        <f t="shared" si="999"/>
        <v>0</v>
      </c>
      <c r="R300" s="136">
        <f t="shared" si="1000"/>
        <v>0</v>
      </c>
      <c r="S300" s="136">
        <f t="shared" si="1001"/>
        <v>0</v>
      </c>
      <c r="T300" s="136">
        <f t="shared" si="989"/>
        <v>0</v>
      </c>
      <c r="U300" s="136">
        <f t="shared" si="989"/>
        <v>0</v>
      </c>
      <c r="V300" s="136">
        <f t="shared" si="1002"/>
        <v>0</v>
      </c>
      <c r="W300" s="136">
        <f t="shared" si="1003"/>
        <v>0</v>
      </c>
      <c r="X300" s="130">
        <f t="shared" si="854"/>
        <v>0</v>
      </c>
      <c r="Z300" s="64">
        <f t="shared" ref="Z300:Z314" si="1146">AA300+AB300</f>
        <v>5245.4494093333342</v>
      </c>
      <c r="AA300" s="64">
        <f t="shared" si="1137"/>
        <v>2726.4144693333337</v>
      </c>
      <c r="AB300" s="64">
        <f t="shared" si="1138"/>
        <v>2519.03494</v>
      </c>
      <c r="AD300" s="64">
        <f t="shared" ref="AD300:AD314" si="1147">AE300+AF300</f>
        <v>5297.9039034266671</v>
      </c>
      <c r="AE300" s="64">
        <f t="shared" si="1139"/>
        <v>2753.6786140266672</v>
      </c>
      <c r="AF300" s="64">
        <f t="shared" si="1140"/>
        <v>2544.2252893999998</v>
      </c>
      <c r="AH300" s="64">
        <f t="shared" ref="AH300:AH314" si="1148">AI300+AJ300</f>
        <v>5350.8829424609339</v>
      </c>
      <c r="AI300" s="64">
        <f t="shared" si="1141"/>
        <v>2781.2154001669337</v>
      </c>
      <c r="AJ300" s="64">
        <f t="shared" si="1142"/>
        <v>2569.6675422939998</v>
      </c>
      <c r="AL300" s="64">
        <f t="shared" ref="AL300:AL314" si="1149">AM300+AN300</f>
        <v>5404.3917718855428</v>
      </c>
      <c r="AM300" s="64">
        <f t="shared" si="1143"/>
        <v>2809.0275541686033</v>
      </c>
      <c r="AN300" s="64">
        <f t="shared" si="1144"/>
        <v>2595.3642177169399</v>
      </c>
      <c r="AO300" s="165" t="s">
        <v>35</v>
      </c>
    </row>
    <row r="301" spans="1:41" hidden="1" x14ac:dyDescent="0.25">
      <c r="A301" s="131"/>
      <c r="B301" s="63">
        <f>'Expense Input'!B77</f>
        <v>100</v>
      </c>
      <c r="C301" s="63">
        <f>'Expense Input'!C77</f>
        <v>4000</v>
      </c>
      <c r="D301" s="63">
        <f>'Expense Input'!D77</f>
        <v>7300</v>
      </c>
      <c r="E301" s="63">
        <f>'Expense Input'!E77</f>
        <v>365</v>
      </c>
      <c r="F301" s="63" t="str">
        <f>'Expense Input'!F77</f>
        <v>Software, License, Support, &amp; Maintenance</v>
      </c>
      <c r="G301" s="88">
        <f>'Expense Input'!Q77</f>
        <v>0</v>
      </c>
      <c r="H301" s="88">
        <f>'Expense Input'!R77</f>
        <v>0</v>
      </c>
      <c r="I301" s="88">
        <f>'Expense Input'!S77</f>
        <v>0</v>
      </c>
      <c r="J301" s="129" t="str">
        <f t="shared" si="901"/>
        <v/>
      </c>
      <c r="L301" s="132">
        <f t="shared" si="844"/>
        <v>0</v>
      </c>
      <c r="M301" s="132">
        <f t="shared" si="998"/>
        <v>0</v>
      </c>
      <c r="N301" s="130"/>
      <c r="O301" s="136"/>
      <c r="P301" s="136">
        <f t="shared" si="1004"/>
        <v>0</v>
      </c>
      <c r="Q301" s="136">
        <f t="shared" si="999"/>
        <v>0</v>
      </c>
      <c r="R301" s="136">
        <f t="shared" si="1000"/>
        <v>0</v>
      </c>
      <c r="S301" s="136">
        <f t="shared" si="1001"/>
        <v>0</v>
      </c>
      <c r="T301" s="136">
        <f t="shared" si="989"/>
        <v>0</v>
      </c>
      <c r="U301" s="136">
        <f t="shared" si="989"/>
        <v>0</v>
      </c>
      <c r="V301" s="136">
        <f t="shared" si="1002"/>
        <v>0</v>
      </c>
      <c r="W301" s="136">
        <f t="shared" si="1003"/>
        <v>0</v>
      </c>
      <c r="X301" s="130">
        <f t="shared" si="854"/>
        <v>0</v>
      </c>
      <c r="Z301" s="64">
        <f t="shared" si="1146"/>
        <v>0</v>
      </c>
      <c r="AA301" s="64">
        <f t="shared" si="1137"/>
        <v>0</v>
      </c>
      <c r="AB301" s="64">
        <f t="shared" si="1138"/>
        <v>0</v>
      </c>
      <c r="AD301" s="64">
        <f t="shared" si="1147"/>
        <v>0</v>
      </c>
      <c r="AE301" s="64">
        <f t="shared" si="1139"/>
        <v>0</v>
      </c>
      <c r="AF301" s="64">
        <f t="shared" si="1140"/>
        <v>0</v>
      </c>
      <c r="AH301" s="64">
        <f t="shared" si="1148"/>
        <v>0</v>
      </c>
      <c r="AI301" s="64">
        <f t="shared" si="1141"/>
        <v>0</v>
      </c>
      <c r="AJ301" s="64">
        <f t="shared" si="1142"/>
        <v>0</v>
      </c>
      <c r="AL301" s="64">
        <f t="shared" si="1149"/>
        <v>0</v>
      </c>
      <c r="AM301" s="64">
        <f t="shared" si="1143"/>
        <v>0</v>
      </c>
      <c r="AN301" s="64">
        <f t="shared" si="1144"/>
        <v>0</v>
      </c>
      <c r="AO301" s="165" t="s">
        <v>35</v>
      </c>
    </row>
    <row r="302" spans="1:41" s="1" customFormat="1" x14ac:dyDescent="0.25">
      <c r="A302" s="131"/>
      <c r="B302" s="63">
        <f>'Expense Input'!B78</f>
        <v>100</v>
      </c>
      <c r="C302" s="63">
        <f>'Expense Input'!C78</f>
        <v>4000</v>
      </c>
      <c r="D302" s="63">
        <f>'Expense Input'!D78</f>
        <v>7300</v>
      </c>
      <c r="E302" s="63">
        <f>'Expense Input'!E78</f>
        <v>370</v>
      </c>
      <c r="F302" s="63" t="str">
        <f>'Expense Input'!F78</f>
        <v>Postage</v>
      </c>
      <c r="G302" s="88">
        <f>'Expense Input'!Q78</f>
        <v>655.07253333333347</v>
      </c>
      <c r="H302" s="88">
        <f>'Expense Input'!R78</f>
        <v>240.46080000000001</v>
      </c>
      <c r="I302" s="88">
        <f>'Expense Input'!S78</f>
        <v>414.6117333333334</v>
      </c>
      <c r="J302" s="129" t="str">
        <f t="shared" si="901"/>
        <v>*</v>
      </c>
      <c r="K302" s="129"/>
      <c r="L302" s="132">
        <f t="shared" si="844"/>
        <v>0</v>
      </c>
      <c r="M302" s="132">
        <f t="shared" si="998"/>
        <v>655.07253333333347</v>
      </c>
      <c r="N302" s="130"/>
      <c r="O302" s="136"/>
      <c r="P302" s="136">
        <f t="shared" si="1004"/>
        <v>0</v>
      </c>
      <c r="Q302" s="136">
        <f t="shared" si="999"/>
        <v>0</v>
      </c>
      <c r="R302" s="136">
        <f t="shared" si="1000"/>
        <v>0</v>
      </c>
      <c r="S302" s="136">
        <f t="shared" si="1001"/>
        <v>0</v>
      </c>
      <c r="T302" s="136">
        <f t="shared" si="989"/>
        <v>0</v>
      </c>
      <c r="U302" s="136">
        <f t="shared" si="989"/>
        <v>0</v>
      </c>
      <c r="V302" s="136">
        <f t="shared" si="1002"/>
        <v>0</v>
      </c>
      <c r="W302" s="136">
        <f t="shared" si="1003"/>
        <v>0</v>
      </c>
      <c r="X302" s="130">
        <f t="shared" si="854"/>
        <v>0</v>
      </c>
      <c r="Y302" s="129"/>
      <c r="Z302" s="64">
        <f t="shared" si="1146"/>
        <v>661.62325866666674</v>
      </c>
      <c r="AA302" s="64">
        <f t="shared" si="1137"/>
        <v>242.865408</v>
      </c>
      <c r="AB302" s="64">
        <f t="shared" si="1138"/>
        <v>418.75785066666674</v>
      </c>
      <c r="AC302" s="77"/>
      <c r="AD302" s="64">
        <f t="shared" si="1147"/>
        <v>668.23949125333343</v>
      </c>
      <c r="AE302" s="64">
        <f t="shared" si="1139"/>
        <v>245.29406208</v>
      </c>
      <c r="AF302" s="64">
        <f t="shared" si="1140"/>
        <v>422.94542917333342</v>
      </c>
      <c r="AG302" s="77"/>
      <c r="AH302" s="64">
        <f t="shared" si="1148"/>
        <v>674.92188616586679</v>
      </c>
      <c r="AI302" s="64">
        <f t="shared" si="1141"/>
        <v>247.74700270080001</v>
      </c>
      <c r="AJ302" s="64">
        <f t="shared" si="1142"/>
        <v>427.17488346506678</v>
      </c>
      <c r="AK302" s="77"/>
      <c r="AL302" s="64">
        <f t="shared" si="1149"/>
        <v>681.67110502752553</v>
      </c>
      <c r="AM302" s="64">
        <f t="shared" si="1143"/>
        <v>250.22447272780801</v>
      </c>
      <c r="AN302" s="64">
        <f t="shared" si="1144"/>
        <v>431.44663229971746</v>
      </c>
      <c r="AO302" s="165" t="s">
        <v>35</v>
      </c>
    </row>
    <row r="303" spans="1:41" hidden="1" x14ac:dyDescent="0.25">
      <c r="A303" s="131"/>
      <c r="B303" s="63">
        <f>'Expense Input'!B79</f>
        <v>495</v>
      </c>
      <c r="C303" s="63">
        <f>'Expense Input'!C79</f>
        <v>4000</v>
      </c>
      <c r="D303" s="63">
        <f>'Expense Input'!D79</f>
        <v>7300</v>
      </c>
      <c r="E303" s="63">
        <f>'Expense Input'!E79</f>
        <v>370</v>
      </c>
      <c r="F303" s="63" t="str">
        <f>'Expense Input'!F79</f>
        <v>Postage</v>
      </c>
      <c r="G303" s="88">
        <f>'Expense Input'!Q79</f>
        <v>0</v>
      </c>
      <c r="H303" s="88">
        <f>'Expense Input'!R79</f>
        <v>0</v>
      </c>
      <c r="I303" s="88">
        <f>'Expense Input'!S79</f>
        <v>0</v>
      </c>
      <c r="J303" s="129" t="str">
        <f t="shared" si="901"/>
        <v/>
      </c>
      <c r="L303" s="132">
        <f t="shared" si="844"/>
        <v>0</v>
      </c>
      <c r="M303" s="132">
        <f t="shared" si="998"/>
        <v>0</v>
      </c>
      <c r="N303" s="130"/>
      <c r="O303" s="136"/>
      <c r="P303" s="136">
        <f t="shared" si="1004"/>
        <v>0</v>
      </c>
      <c r="Q303" s="136">
        <f t="shared" si="999"/>
        <v>0</v>
      </c>
      <c r="R303" s="136">
        <f t="shared" si="1000"/>
        <v>0</v>
      </c>
      <c r="S303" s="136">
        <f t="shared" si="1001"/>
        <v>0</v>
      </c>
      <c r="T303" s="136">
        <f t="shared" si="989"/>
        <v>0</v>
      </c>
      <c r="U303" s="136">
        <f t="shared" si="989"/>
        <v>0</v>
      </c>
      <c r="V303" s="136">
        <f t="shared" si="1002"/>
        <v>0</v>
      </c>
      <c r="W303" s="136">
        <f t="shared" si="1003"/>
        <v>0</v>
      </c>
      <c r="X303" s="130">
        <f t="shared" si="854"/>
        <v>0</v>
      </c>
      <c r="Z303" s="64">
        <f t="shared" si="1146"/>
        <v>0</v>
      </c>
      <c r="AA303" s="64">
        <f t="shared" si="1137"/>
        <v>0</v>
      </c>
      <c r="AB303" s="64">
        <f t="shared" si="1138"/>
        <v>0</v>
      </c>
      <c r="AD303" s="64">
        <f t="shared" si="1147"/>
        <v>0</v>
      </c>
      <c r="AE303" s="64">
        <f t="shared" si="1139"/>
        <v>0</v>
      </c>
      <c r="AF303" s="64">
        <f t="shared" si="1140"/>
        <v>0</v>
      </c>
      <c r="AH303" s="64">
        <f t="shared" si="1148"/>
        <v>0</v>
      </c>
      <c r="AI303" s="64">
        <f t="shared" si="1141"/>
        <v>0</v>
      </c>
      <c r="AJ303" s="64">
        <f t="shared" si="1142"/>
        <v>0</v>
      </c>
      <c r="AL303" s="64">
        <f t="shared" si="1149"/>
        <v>0</v>
      </c>
      <c r="AM303" s="64">
        <f t="shared" si="1143"/>
        <v>0</v>
      </c>
      <c r="AN303" s="64">
        <f t="shared" si="1144"/>
        <v>0</v>
      </c>
      <c r="AO303" s="165" t="s">
        <v>35</v>
      </c>
    </row>
    <row r="304" spans="1:41" x14ac:dyDescent="0.25">
      <c r="A304" s="131"/>
      <c r="B304" s="63">
        <f>'Expense Input'!B80</f>
        <v>100</v>
      </c>
      <c r="C304" s="63">
        <f>'Expense Input'!C80</f>
        <v>4000</v>
      </c>
      <c r="D304" s="63">
        <f>'Expense Input'!D80</f>
        <v>7300</v>
      </c>
      <c r="E304" s="63">
        <f>'Expense Input'!E80</f>
        <v>390</v>
      </c>
      <c r="F304" s="63" t="str">
        <f>'Expense Input'!F80</f>
        <v>Advertising</v>
      </c>
      <c r="G304" s="88">
        <f>'Expense Input'!Q80</f>
        <v>12207.245146666666</v>
      </c>
      <c r="H304" s="88">
        <f>'Expense Input'!R80</f>
        <v>4686.373066666667</v>
      </c>
      <c r="I304" s="88">
        <f>'Expense Input'!S80</f>
        <v>7520.8720799999992</v>
      </c>
      <c r="J304" s="129" t="str">
        <f t="shared" si="901"/>
        <v>*</v>
      </c>
      <c r="L304" s="132">
        <f t="shared" si="844"/>
        <v>0</v>
      </c>
      <c r="M304" s="132">
        <f t="shared" si="998"/>
        <v>12207.245146666666</v>
      </c>
      <c r="N304" s="130"/>
      <c r="O304" s="136"/>
      <c r="P304" s="136">
        <f t="shared" si="1004"/>
        <v>0</v>
      </c>
      <c r="Q304" s="136">
        <f t="shared" si="999"/>
        <v>0</v>
      </c>
      <c r="R304" s="136">
        <f t="shared" si="1000"/>
        <v>0</v>
      </c>
      <c r="S304" s="136">
        <f t="shared" si="1001"/>
        <v>0</v>
      </c>
      <c r="T304" s="136">
        <f t="shared" si="989"/>
        <v>0</v>
      </c>
      <c r="U304" s="136">
        <f t="shared" si="989"/>
        <v>0</v>
      </c>
      <c r="V304" s="136">
        <f t="shared" si="1002"/>
        <v>0</v>
      </c>
      <c r="W304" s="136">
        <f t="shared" si="1003"/>
        <v>0</v>
      </c>
      <c r="X304" s="130">
        <f t="shared" si="854"/>
        <v>0</v>
      </c>
      <c r="Z304" s="64">
        <f t="shared" si="1146"/>
        <v>12329.317598133333</v>
      </c>
      <c r="AA304" s="64">
        <f t="shared" si="1137"/>
        <v>4733.2367973333339</v>
      </c>
      <c r="AB304" s="64">
        <f t="shared" si="1138"/>
        <v>7596.0808007999995</v>
      </c>
      <c r="AD304" s="64">
        <f t="shared" si="1147"/>
        <v>12452.610774114666</v>
      </c>
      <c r="AE304" s="64">
        <f t="shared" si="1139"/>
        <v>4780.5691653066669</v>
      </c>
      <c r="AF304" s="64">
        <f t="shared" si="1140"/>
        <v>7672.0416088079992</v>
      </c>
      <c r="AH304" s="64">
        <f t="shared" si="1148"/>
        <v>12577.136881855813</v>
      </c>
      <c r="AI304" s="64">
        <f t="shared" si="1141"/>
        <v>4828.3748569597337</v>
      </c>
      <c r="AJ304" s="64">
        <f t="shared" si="1142"/>
        <v>7748.7620248960793</v>
      </c>
      <c r="AL304" s="64">
        <f t="shared" si="1149"/>
        <v>12702.908250674371</v>
      </c>
      <c r="AM304" s="64">
        <f t="shared" si="1143"/>
        <v>4876.658605529331</v>
      </c>
      <c r="AN304" s="64">
        <f t="shared" si="1144"/>
        <v>7826.2496451450397</v>
      </c>
      <c r="AO304" s="165" t="s">
        <v>35</v>
      </c>
    </row>
    <row r="305" spans="1:41" x14ac:dyDescent="0.25">
      <c r="A305" s="131"/>
      <c r="B305" s="63">
        <f>'Expense Input'!B81</f>
        <v>100</v>
      </c>
      <c r="C305" s="63">
        <f>'Expense Input'!C81</f>
        <v>4000</v>
      </c>
      <c r="D305" s="63">
        <f>'Expense Input'!D81</f>
        <v>7300</v>
      </c>
      <c r="E305" s="63">
        <f>'Expense Input'!E81</f>
        <v>510</v>
      </c>
      <c r="F305" s="63" t="str">
        <f>'Expense Input'!F81</f>
        <v>Office Expense</v>
      </c>
      <c r="G305" s="88">
        <f>'Expense Input'!Q81</f>
        <v>8678.8761333333332</v>
      </c>
      <c r="H305" s="88">
        <f>'Expense Input'!R81</f>
        <v>5619.815066666667</v>
      </c>
      <c r="I305" s="88">
        <f>'Expense Input'!S81</f>
        <v>3059.0610666666666</v>
      </c>
      <c r="J305" s="129" t="str">
        <f t="shared" si="901"/>
        <v>*</v>
      </c>
      <c r="L305" s="132">
        <f t="shared" si="844"/>
        <v>0</v>
      </c>
      <c r="M305" s="132">
        <f t="shared" si="998"/>
        <v>8678.8761333333332</v>
      </c>
      <c r="N305" s="130"/>
      <c r="O305" s="136"/>
      <c r="P305" s="136">
        <f t="shared" si="1004"/>
        <v>0</v>
      </c>
      <c r="Q305" s="136">
        <f t="shared" si="999"/>
        <v>0</v>
      </c>
      <c r="R305" s="136">
        <f t="shared" si="1000"/>
        <v>0</v>
      </c>
      <c r="S305" s="136">
        <f t="shared" si="1001"/>
        <v>0</v>
      </c>
      <c r="T305" s="136">
        <f t="shared" si="989"/>
        <v>0</v>
      </c>
      <c r="U305" s="136">
        <f t="shared" si="989"/>
        <v>0</v>
      </c>
      <c r="V305" s="136">
        <f t="shared" si="1002"/>
        <v>0</v>
      </c>
      <c r="W305" s="136">
        <f t="shared" si="1003"/>
        <v>0</v>
      </c>
      <c r="X305" s="130">
        <f t="shared" si="854"/>
        <v>0</v>
      </c>
      <c r="Z305" s="64">
        <f t="shared" si="1146"/>
        <v>8765.6648946666683</v>
      </c>
      <c r="AA305" s="64">
        <f t="shared" si="1137"/>
        <v>5676.0132173333341</v>
      </c>
      <c r="AB305" s="64">
        <f t="shared" si="1138"/>
        <v>3089.6516773333333</v>
      </c>
      <c r="AD305" s="64">
        <f t="shared" si="1147"/>
        <v>8853.3215436133341</v>
      </c>
      <c r="AE305" s="64">
        <f t="shared" si="1139"/>
        <v>5732.7733495066677</v>
      </c>
      <c r="AF305" s="64">
        <f t="shared" si="1140"/>
        <v>3120.5481941066669</v>
      </c>
      <c r="AH305" s="64">
        <f t="shared" si="1148"/>
        <v>8941.8547590494691</v>
      </c>
      <c r="AI305" s="64">
        <f t="shared" si="1141"/>
        <v>5790.1010830017349</v>
      </c>
      <c r="AJ305" s="64">
        <f t="shared" si="1142"/>
        <v>3151.7536760477337</v>
      </c>
      <c r="AL305" s="64">
        <f t="shared" si="1149"/>
        <v>9031.2733066399633</v>
      </c>
      <c r="AM305" s="64">
        <f t="shared" si="1143"/>
        <v>5848.0020938317521</v>
      </c>
      <c r="AN305" s="64">
        <f t="shared" si="1144"/>
        <v>3183.2712128082112</v>
      </c>
      <c r="AO305" s="165" t="s">
        <v>35</v>
      </c>
    </row>
    <row r="306" spans="1:41" s="1" customFormat="1" ht="13.2" hidden="1" customHeight="1" x14ac:dyDescent="0.25">
      <c r="A306" s="131"/>
      <c r="B306" s="63">
        <f>'Expense Input'!B82</f>
        <v>493</v>
      </c>
      <c r="C306" s="63">
        <f>'Expense Input'!C82</f>
        <v>4000</v>
      </c>
      <c r="D306" s="63">
        <f>'Expense Input'!D82</f>
        <v>7300</v>
      </c>
      <c r="E306" s="63">
        <f>'Expense Input'!E82</f>
        <v>510</v>
      </c>
      <c r="F306" s="63" t="str">
        <f>'Expense Input'!F82</f>
        <v>Office Expense</v>
      </c>
      <c r="G306" s="88">
        <f>'Expense Input'!Q82</f>
        <v>0</v>
      </c>
      <c r="H306" s="88">
        <f>'Expense Input'!R82</f>
        <v>0</v>
      </c>
      <c r="I306" s="88">
        <f>'Expense Input'!S82</f>
        <v>0</v>
      </c>
      <c r="J306" s="129" t="str">
        <f t="shared" si="901"/>
        <v/>
      </c>
      <c r="K306" s="129"/>
      <c r="L306" s="132">
        <f t="shared" si="844"/>
        <v>0</v>
      </c>
      <c r="M306" s="132">
        <f t="shared" si="998"/>
        <v>0</v>
      </c>
      <c r="N306" s="130"/>
      <c r="O306" s="136"/>
      <c r="P306" s="136">
        <f t="shared" si="1004"/>
        <v>0</v>
      </c>
      <c r="Q306" s="136">
        <f t="shared" si="999"/>
        <v>0</v>
      </c>
      <c r="R306" s="136">
        <f t="shared" si="1000"/>
        <v>0</v>
      </c>
      <c r="S306" s="136">
        <f t="shared" si="1001"/>
        <v>0</v>
      </c>
      <c r="T306" s="136">
        <f t="shared" si="989"/>
        <v>0</v>
      </c>
      <c r="U306" s="136">
        <f t="shared" si="989"/>
        <v>0</v>
      </c>
      <c r="V306" s="136">
        <f t="shared" si="1002"/>
        <v>0</v>
      </c>
      <c r="W306" s="136">
        <f t="shared" si="1003"/>
        <v>0</v>
      </c>
      <c r="X306" s="130">
        <f t="shared" si="854"/>
        <v>0</v>
      </c>
      <c r="Y306" s="129"/>
      <c r="Z306" s="64">
        <f t="shared" si="1146"/>
        <v>0</v>
      </c>
      <c r="AA306" s="64">
        <f t="shared" si="1137"/>
        <v>0</v>
      </c>
      <c r="AB306" s="64">
        <f t="shared" si="1138"/>
        <v>0</v>
      </c>
      <c r="AC306" s="77"/>
      <c r="AD306" s="64">
        <f t="shared" si="1147"/>
        <v>0</v>
      </c>
      <c r="AE306" s="64">
        <f t="shared" si="1139"/>
        <v>0</v>
      </c>
      <c r="AF306" s="64">
        <f t="shared" si="1140"/>
        <v>0</v>
      </c>
      <c r="AG306" s="77"/>
      <c r="AH306" s="64">
        <f t="shared" si="1148"/>
        <v>0</v>
      </c>
      <c r="AI306" s="64">
        <f t="shared" si="1141"/>
        <v>0</v>
      </c>
      <c r="AJ306" s="64">
        <f t="shared" si="1142"/>
        <v>0</v>
      </c>
      <c r="AK306" s="77"/>
      <c r="AL306" s="64">
        <f t="shared" si="1149"/>
        <v>0</v>
      </c>
      <c r="AM306" s="64">
        <f t="shared" si="1143"/>
        <v>0</v>
      </c>
      <c r="AN306" s="64">
        <f t="shared" si="1144"/>
        <v>0</v>
      </c>
      <c r="AO306" s="165" t="s">
        <v>35</v>
      </c>
    </row>
    <row r="307" spans="1:41" s="1" customFormat="1" ht="13.2" hidden="1" customHeight="1" x14ac:dyDescent="0.25">
      <c r="A307" s="131"/>
      <c r="B307" s="63">
        <f>'Expense Input'!B83</f>
        <v>100</v>
      </c>
      <c r="C307" s="63">
        <f>'Expense Input'!C83</f>
        <v>4000</v>
      </c>
      <c r="D307" s="63">
        <f>'Expense Input'!D83</f>
        <v>7300</v>
      </c>
      <c r="E307" s="63">
        <f>'Expense Input'!E83</f>
        <v>640</v>
      </c>
      <c r="F307" s="63" t="str">
        <f>'Expense Input'!F83</f>
        <v>Furniture &amp; Equipment</v>
      </c>
      <c r="G307" s="88">
        <f>'Expense Input'!Q83</f>
        <v>0</v>
      </c>
      <c r="H307" s="88">
        <f>'Expense Input'!R83</f>
        <v>0</v>
      </c>
      <c r="I307" s="88">
        <f>'Expense Input'!S83</f>
        <v>0</v>
      </c>
      <c r="J307" s="129" t="str">
        <f t="shared" si="901"/>
        <v/>
      </c>
      <c r="K307" s="129"/>
      <c r="L307" s="132">
        <f t="shared" si="844"/>
        <v>0</v>
      </c>
      <c r="M307" s="132">
        <f t="shared" si="998"/>
        <v>0</v>
      </c>
      <c r="N307" s="130"/>
      <c r="O307" s="136"/>
      <c r="P307" s="136">
        <f t="shared" si="1004"/>
        <v>0</v>
      </c>
      <c r="Q307" s="136">
        <f t="shared" si="999"/>
        <v>0</v>
      </c>
      <c r="R307" s="136">
        <f t="shared" si="1000"/>
        <v>0</v>
      </c>
      <c r="S307" s="136">
        <f t="shared" si="1001"/>
        <v>0</v>
      </c>
      <c r="T307" s="136">
        <f t="shared" si="989"/>
        <v>0</v>
      </c>
      <c r="U307" s="136">
        <f t="shared" si="989"/>
        <v>0</v>
      </c>
      <c r="V307" s="136">
        <f t="shared" si="1002"/>
        <v>0</v>
      </c>
      <c r="W307" s="136">
        <f t="shared" si="1003"/>
        <v>0</v>
      </c>
      <c r="X307" s="130">
        <f t="shared" si="854"/>
        <v>0</v>
      </c>
      <c r="Y307" s="129"/>
      <c r="Z307" s="64">
        <f t="shared" si="1146"/>
        <v>0</v>
      </c>
      <c r="AA307" s="64">
        <f t="shared" si="1137"/>
        <v>0</v>
      </c>
      <c r="AB307" s="64">
        <f t="shared" si="1138"/>
        <v>0</v>
      </c>
      <c r="AC307" s="77"/>
      <c r="AD307" s="64">
        <f t="shared" si="1147"/>
        <v>0</v>
      </c>
      <c r="AE307" s="64">
        <f t="shared" si="1139"/>
        <v>0</v>
      </c>
      <c r="AF307" s="64">
        <f t="shared" si="1140"/>
        <v>0</v>
      </c>
      <c r="AG307" s="77"/>
      <c r="AH307" s="64">
        <f t="shared" si="1148"/>
        <v>0</v>
      </c>
      <c r="AI307" s="64">
        <f t="shared" si="1141"/>
        <v>0</v>
      </c>
      <c r="AJ307" s="64">
        <f t="shared" si="1142"/>
        <v>0</v>
      </c>
      <c r="AK307" s="77"/>
      <c r="AL307" s="64">
        <f t="shared" si="1149"/>
        <v>0</v>
      </c>
      <c r="AM307" s="64">
        <f t="shared" si="1143"/>
        <v>0</v>
      </c>
      <c r="AN307" s="64">
        <f t="shared" si="1144"/>
        <v>0</v>
      </c>
      <c r="AO307" s="165" t="s">
        <v>35</v>
      </c>
    </row>
    <row r="308" spans="1:41" s="1" customFormat="1" ht="13.2" hidden="1" customHeight="1" x14ac:dyDescent="0.25">
      <c r="A308" s="131"/>
      <c r="B308" s="63">
        <f>'Expense Input'!B84</f>
        <v>495</v>
      </c>
      <c r="C308" s="63">
        <f>'Expense Input'!C84</f>
        <v>4000</v>
      </c>
      <c r="D308" s="63">
        <f>'Expense Input'!D84</f>
        <v>7300</v>
      </c>
      <c r="E308" s="63">
        <f>'Expense Input'!E84</f>
        <v>640</v>
      </c>
      <c r="F308" s="63" t="str">
        <f>'Expense Input'!F84</f>
        <v>Furniture &amp; Fixtures</v>
      </c>
      <c r="G308" s="88">
        <f>'Expense Input'!Q84</f>
        <v>0</v>
      </c>
      <c r="H308" s="88">
        <f>'Expense Input'!R84</f>
        <v>0</v>
      </c>
      <c r="I308" s="88">
        <f>'Expense Input'!S84</f>
        <v>0</v>
      </c>
      <c r="J308" s="129" t="str">
        <f t="shared" si="901"/>
        <v/>
      </c>
      <c r="K308" s="129"/>
      <c r="L308" s="132">
        <f t="shared" si="844"/>
        <v>0</v>
      </c>
      <c r="M308" s="132">
        <f t="shared" si="998"/>
        <v>0</v>
      </c>
      <c r="N308" s="130"/>
      <c r="O308" s="136"/>
      <c r="P308" s="136">
        <f t="shared" si="1004"/>
        <v>0</v>
      </c>
      <c r="Q308" s="136">
        <f t="shared" si="999"/>
        <v>0</v>
      </c>
      <c r="R308" s="136">
        <f t="shared" si="1000"/>
        <v>0</v>
      </c>
      <c r="S308" s="136">
        <f t="shared" si="1001"/>
        <v>0</v>
      </c>
      <c r="T308" s="136">
        <f t="shared" si="989"/>
        <v>0</v>
      </c>
      <c r="U308" s="136">
        <f t="shared" si="989"/>
        <v>0</v>
      </c>
      <c r="V308" s="136">
        <f t="shared" si="1002"/>
        <v>0</v>
      </c>
      <c r="W308" s="136">
        <f t="shared" si="1003"/>
        <v>0</v>
      </c>
      <c r="X308" s="130">
        <f t="shared" si="854"/>
        <v>0</v>
      </c>
      <c r="Y308" s="129"/>
      <c r="Z308" s="64">
        <f t="shared" si="1146"/>
        <v>0</v>
      </c>
      <c r="AA308" s="64">
        <f t="shared" si="1137"/>
        <v>0</v>
      </c>
      <c r="AB308" s="64">
        <f t="shared" si="1138"/>
        <v>0</v>
      </c>
      <c r="AC308" s="77"/>
      <c r="AD308" s="64">
        <f t="shared" si="1147"/>
        <v>0</v>
      </c>
      <c r="AE308" s="64">
        <f t="shared" si="1139"/>
        <v>0</v>
      </c>
      <c r="AF308" s="64">
        <f t="shared" si="1140"/>
        <v>0</v>
      </c>
      <c r="AG308" s="77"/>
      <c r="AH308" s="64">
        <f t="shared" si="1148"/>
        <v>0</v>
      </c>
      <c r="AI308" s="64">
        <f t="shared" si="1141"/>
        <v>0</v>
      </c>
      <c r="AJ308" s="64">
        <f t="shared" si="1142"/>
        <v>0</v>
      </c>
      <c r="AK308" s="77"/>
      <c r="AL308" s="64">
        <f t="shared" si="1149"/>
        <v>0</v>
      </c>
      <c r="AM308" s="64">
        <f t="shared" si="1143"/>
        <v>0</v>
      </c>
      <c r="AN308" s="64">
        <f t="shared" si="1144"/>
        <v>0</v>
      </c>
      <c r="AO308" s="165" t="s">
        <v>35</v>
      </c>
    </row>
    <row r="309" spans="1:41" s="1" customFormat="1" ht="13.2" customHeight="1" x14ac:dyDescent="0.25">
      <c r="A309" s="131"/>
      <c r="B309" s="63">
        <f>'Expense Input'!B85</f>
        <v>100</v>
      </c>
      <c r="C309" s="63">
        <f>'Expense Input'!C85</f>
        <v>4000</v>
      </c>
      <c r="D309" s="63">
        <f>'Expense Input'!D85</f>
        <v>7300</v>
      </c>
      <c r="E309" s="63">
        <f>'Expense Input'!E85</f>
        <v>641</v>
      </c>
      <c r="F309" s="63" t="str">
        <f>'Expense Input'!F85</f>
        <v>Capitalized Furniture Fixtures and Equipment</v>
      </c>
      <c r="G309" s="88">
        <f>'Expense Input'!Q85</f>
        <v>2000</v>
      </c>
      <c r="H309" s="88">
        <f>'Expense Input'!R85</f>
        <v>1000</v>
      </c>
      <c r="I309" s="88">
        <f>'Expense Input'!S85</f>
        <v>1000</v>
      </c>
      <c r="J309" s="129" t="str">
        <f t="shared" si="901"/>
        <v>*</v>
      </c>
      <c r="K309" s="129"/>
      <c r="L309" s="132">
        <f t="shared" ref="L309:L402" si="1150">IF(E309&lt;300,G309,0)</f>
        <v>0</v>
      </c>
      <c r="M309" s="132">
        <f t="shared" si="998"/>
        <v>2000</v>
      </c>
      <c r="N309" s="130"/>
      <c r="O309" s="136"/>
      <c r="P309" s="136">
        <f t="shared" si="1004"/>
        <v>0</v>
      </c>
      <c r="Q309" s="136">
        <f t="shared" si="999"/>
        <v>0</v>
      </c>
      <c r="R309" s="136">
        <f t="shared" si="1000"/>
        <v>0</v>
      </c>
      <c r="S309" s="136">
        <f t="shared" si="1001"/>
        <v>0</v>
      </c>
      <c r="T309" s="136">
        <f t="shared" si="989"/>
        <v>0</v>
      </c>
      <c r="U309" s="136">
        <f t="shared" si="989"/>
        <v>0</v>
      </c>
      <c r="V309" s="136">
        <f t="shared" si="1002"/>
        <v>0</v>
      </c>
      <c r="W309" s="136">
        <f t="shared" si="1003"/>
        <v>0</v>
      </c>
      <c r="X309" s="130">
        <f t="shared" si="854"/>
        <v>0</v>
      </c>
      <c r="Y309" s="129"/>
      <c r="Z309" s="64">
        <f t="shared" si="1146"/>
        <v>2020</v>
      </c>
      <c r="AA309" s="64">
        <f t="shared" si="1137"/>
        <v>1010</v>
      </c>
      <c r="AB309" s="64">
        <f t="shared" si="1138"/>
        <v>1010</v>
      </c>
      <c r="AC309" s="77"/>
      <c r="AD309" s="64">
        <f t="shared" si="1147"/>
        <v>2040.2</v>
      </c>
      <c r="AE309" s="64">
        <f t="shared" si="1139"/>
        <v>1020.1</v>
      </c>
      <c r="AF309" s="64">
        <f t="shared" si="1140"/>
        <v>1020.1</v>
      </c>
      <c r="AG309" s="77"/>
      <c r="AH309" s="64">
        <f t="shared" si="1148"/>
        <v>2060.6019999999999</v>
      </c>
      <c r="AI309" s="64">
        <f t="shared" si="1141"/>
        <v>1030.3009999999999</v>
      </c>
      <c r="AJ309" s="64">
        <f t="shared" si="1142"/>
        <v>1030.3009999999999</v>
      </c>
      <c r="AK309" s="77"/>
      <c r="AL309" s="64">
        <f t="shared" si="1149"/>
        <v>2081.20802</v>
      </c>
      <c r="AM309" s="64">
        <f t="shared" si="1143"/>
        <v>1040.60401</v>
      </c>
      <c r="AN309" s="64">
        <f t="shared" si="1144"/>
        <v>1040.60401</v>
      </c>
      <c r="AO309" s="165" t="s">
        <v>35</v>
      </c>
    </row>
    <row r="310" spans="1:41" s="1" customFormat="1" ht="13.2" customHeight="1" x14ac:dyDescent="0.25">
      <c r="A310" s="131"/>
      <c r="B310" s="63">
        <f>'Expense Input'!B86</f>
        <v>100</v>
      </c>
      <c r="C310" s="63">
        <f>'Expense Input'!C86</f>
        <v>4000</v>
      </c>
      <c r="D310" s="63">
        <f>'Expense Input'!D86</f>
        <v>7300</v>
      </c>
      <c r="E310" s="63">
        <f>'Expense Input'!E86</f>
        <v>642</v>
      </c>
      <c r="F310" s="63" t="str">
        <f>'Expense Input'!F86</f>
        <v>Non Capital Furniture &amp; Equipment</v>
      </c>
      <c r="G310" s="88">
        <f>'Expense Input'!Q86</f>
        <v>2000</v>
      </c>
      <c r="H310" s="88">
        <f>'Expense Input'!R86</f>
        <v>1000</v>
      </c>
      <c r="I310" s="88">
        <f>'Expense Input'!S86</f>
        <v>1000</v>
      </c>
      <c r="J310" s="129" t="str">
        <f t="shared" si="901"/>
        <v>*</v>
      </c>
      <c r="K310" s="129"/>
      <c r="L310" s="132">
        <f t="shared" si="1150"/>
        <v>0</v>
      </c>
      <c r="M310" s="132">
        <f t="shared" si="998"/>
        <v>2000</v>
      </c>
      <c r="N310" s="130"/>
      <c r="O310" s="136"/>
      <c r="P310" s="136">
        <f t="shared" si="1004"/>
        <v>0</v>
      </c>
      <c r="Q310" s="136">
        <f t="shared" si="999"/>
        <v>0</v>
      </c>
      <c r="R310" s="136">
        <f t="shared" si="1000"/>
        <v>0</v>
      </c>
      <c r="S310" s="136">
        <f t="shared" si="1001"/>
        <v>0</v>
      </c>
      <c r="T310" s="136">
        <f t="shared" si="989"/>
        <v>0</v>
      </c>
      <c r="U310" s="136">
        <f t="shared" si="989"/>
        <v>0</v>
      </c>
      <c r="V310" s="136">
        <f t="shared" si="1002"/>
        <v>0</v>
      </c>
      <c r="W310" s="136">
        <f t="shared" si="1003"/>
        <v>0</v>
      </c>
      <c r="X310" s="130">
        <f t="shared" si="854"/>
        <v>0</v>
      </c>
      <c r="Y310" s="129"/>
      <c r="Z310" s="64">
        <f t="shared" si="1146"/>
        <v>2020</v>
      </c>
      <c r="AA310" s="64">
        <f t="shared" si="1137"/>
        <v>1010</v>
      </c>
      <c r="AB310" s="64">
        <f t="shared" si="1138"/>
        <v>1010</v>
      </c>
      <c r="AC310" s="77"/>
      <c r="AD310" s="64">
        <f t="shared" si="1147"/>
        <v>2040.2</v>
      </c>
      <c r="AE310" s="64">
        <f t="shared" si="1139"/>
        <v>1020.1</v>
      </c>
      <c r="AF310" s="64">
        <f t="shared" si="1140"/>
        <v>1020.1</v>
      </c>
      <c r="AG310" s="77"/>
      <c r="AH310" s="64">
        <f t="shared" si="1148"/>
        <v>2060.6019999999999</v>
      </c>
      <c r="AI310" s="64">
        <f t="shared" si="1141"/>
        <v>1030.3009999999999</v>
      </c>
      <c r="AJ310" s="64">
        <f t="shared" si="1142"/>
        <v>1030.3009999999999</v>
      </c>
      <c r="AK310" s="77"/>
      <c r="AL310" s="64">
        <f t="shared" si="1149"/>
        <v>2081.20802</v>
      </c>
      <c r="AM310" s="64">
        <f t="shared" si="1143"/>
        <v>1040.60401</v>
      </c>
      <c r="AN310" s="64">
        <f t="shared" si="1144"/>
        <v>1040.60401</v>
      </c>
      <c r="AO310" s="165" t="s">
        <v>35</v>
      </c>
    </row>
    <row r="311" spans="1:41" s="1" customFormat="1" hidden="1" x14ac:dyDescent="0.25">
      <c r="A311" s="131"/>
      <c r="B311" s="63">
        <f>'Expense Input'!B87</f>
        <v>495</v>
      </c>
      <c r="C311" s="63">
        <f>'Expense Input'!C87</f>
        <v>4000</v>
      </c>
      <c r="D311" s="63">
        <f>'Expense Input'!D87</f>
        <v>7301</v>
      </c>
      <c r="E311" s="63">
        <f>'Expense Input'!E87</f>
        <v>642</v>
      </c>
      <c r="F311" s="63" t="str">
        <f>'Expense Input'!F87</f>
        <v>Non Capital Furniture &amp; Equipment</v>
      </c>
      <c r="G311" s="88">
        <f>'Expense Input'!Q87</f>
        <v>0</v>
      </c>
      <c r="H311" s="88">
        <f>'Expense Input'!R87</f>
        <v>0</v>
      </c>
      <c r="I311" s="88">
        <f>'Expense Input'!S87</f>
        <v>0</v>
      </c>
      <c r="J311" s="129" t="str">
        <f t="shared" si="901"/>
        <v/>
      </c>
      <c r="K311" s="129"/>
      <c r="L311" s="132">
        <f t="shared" si="1150"/>
        <v>0</v>
      </c>
      <c r="M311" s="132">
        <f t="shared" si="998"/>
        <v>0</v>
      </c>
      <c r="N311" s="130"/>
      <c r="O311" s="136"/>
      <c r="P311" s="136">
        <f t="shared" si="1004"/>
        <v>0</v>
      </c>
      <c r="Q311" s="136">
        <f t="shared" si="999"/>
        <v>0</v>
      </c>
      <c r="R311" s="136">
        <f t="shared" si="1000"/>
        <v>0</v>
      </c>
      <c r="S311" s="136">
        <f t="shared" si="1001"/>
        <v>0</v>
      </c>
      <c r="T311" s="136">
        <f t="shared" si="989"/>
        <v>0</v>
      </c>
      <c r="U311" s="136">
        <f t="shared" si="989"/>
        <v>0</v>
      </c>
      <c r="V311" s="136">
        <f t="shared" si="1002"/>
        <v>0</v>
      </c>
      <c r="W311" s="136">
        <f t="shared" si="1003"/>
        <v>0</v>
      </c>
      <c r="X311" s="130">
        <f t="shared" si="854"/>
        <v>0</v>
      </c>
      <c r="Y311" s="129"/>
      <c r="Z311" s="64">
        <f t="shared" si="1146"/>
        <v>0</v>
      </c>
      <c r="AA311" s="64">
        <f t="shared" si="1137"/>
        <v>0</v>
      </c>
      <c r="AB311" s="64">
        <f t="shared" si="1138"/>
        <v>0</v>
      </c>
      <c r="AC311" s="77"/>
      <c r="AD311" s="64">
        <f t="shared" si="1147"/>
        <v>0</v>
      </c>
      <c r="AE311" s="64">
        <f t="shared" si="1139"/>
        <v>0</v>
      </c>
      <c r="AF311" s="64">
        <f t="shared" si="1140"/>
        <v>0</v>
      </c>
      <c r="AG311" s="77"/>
      <c r="AH311" s="64">
        <f t="shared" si="1148"/>
        <v>0</v>
      </c>
      <c r="AI311" s="64">
        <f t="shared" si="1141"/>
        <v>0</v>
      </c>
      <c r="AJ311" s="64">
        <f t="shared" si="1142"/>
        <v>0</v>
      </c>
      <c r="AK311" s="77"/>
      <c r="AL311" s="64">
        <f t="shared" si="1149"/>
        <v>0</v>
      </c>
      <c r="AM311" s="64">
        <f t="shared" si="1143"/>
        <v>0</v>
      </c>
      <c r="AN311" s="64">
        <f t="shared" si="1144"/>
        <v>0</v>
      </c>
      <c r="AO311" s="165" t="s">
        <v>35</v>
      </c>
    </row>
    <row r="312" spans="1:41" s="1" customFormat="1" ht="13.2" hidden="1" customHeight="1" x14ac:dyDescent="0.25">
      <c r="A312" s="131"/>
      <c r="B312" s="63">
        <f>'Expense Input'!B88</f>
        <v>100</v>
      </c>
      <c r="C312" s="63">
        <f>'Expense Input'!C88</f>
        <v>4000</v>
      </c>
      <c r="D312" s="63">
        <f>'Expense Input'!D88</f>
        <v>7300</v>
      </c>
      <c r="E312" s="63">
        <f>'Expense Input'!E88</f>
        <v>643</v>
      </c>
      <c r="F312" s="63" t="str">
        <f>'Expense Input'!F88</f>
        <v>Computer Hardware</v>
      </c>
      <c r="G312" s="88">
        <f>'Expense Input'!Q88</f>
        <v>0</v>
      </c>
      <c r="H312" s="88">
        <f>'Expense Input'!R88</f>
        <v>0</v>
      </c>
      <c r="I312" s="88">
        <f>'Expense Input'!S88</f>
        <v>0</v>
      </c>
      <c r="J312" s="129" t="str">
        <f t="shared" si="901"/>
        <v/>
      </c>
      <c r="K312" s="129"/>
      <c r="L312" s="132">
        <f t="shared" si="1150"/>
        <v>0</v>
      </c>
      <c r="M312" s="132">
        <f t="shared" si="998"/>
        <v>0</v>
      </c>
      <c r="N312" s="130"/>
      <c r="O312" s="136"/>
      <c r="P312" s="136">
        <f t="shared" si="1004"/>
        <v>0</v>
      </c>
      <c r="Q312" s="136">
        <f t="shared" si="999"/>
        <v>0</v>
      </c>
      <c r="R312" s="136">
        <f t="shared" si="1000"/>
        <v>0</v>
      </c>
      <c r="S312" s="136">
        <f t="shared" si="1001"/>
        <v>0</v>
      </c>
      <c r="T312" s="136">
        <f t="shared" si="989"/>
        <v>0</v>
      </c>
      <c r="U312" s="136">
        <f t="shared" si="989"/>
        <v>0</v>
      </c>
      <c r="V312" s="136">
        <f t="shared" si="1002"/>
        <v>0</v>
      </c>
      <c r="W312" s="136">
        <f t="shared" si="1003"/>
        <v>0</v>
      </c>
      <c r="X312" s="130">
        <f t="shared" si="854"/>
        <v>0</v>
      </c>
      <c r="Y312" s="129"/>
      <c r="Z312" s="64">
        <f t="shared" si="1146"/>
        <v>0</v>
      </c>
      <c r="AA312" s="64">
        <f t="shared" si="1137"/>
        <v>0</v>
      </c>
      <c r="AB312" s="64">
        <f t="shared" si="1138"/>
        <v>0</v>
      </c>
      <c r="AC312" s="77"/>
      <c r="AD312" s="64">
        <f t="shared" si="1147"/>
        <v>0</v>
      </c>
      <c r="AE312" s="64">
        <f t="shared" si="1139"/>
        <v>0</v>
      </c>
      <c r="AF312" s="64">
        <f t="shared" si="1140"/>
        <v>0</v>
      </c>
      <c r="AG312" s="77"/>
      <c r="AH312" s="64">
        <f t="shared" si="1148"/>
        <v>0</v>
      </c>
      <c r="AI312" s="64">
        <f t="shared" si="1141"/>
        <v>0</v>
      </c>
      <c r="AJ312" s="64">
        <f t="shared" si="1142"/>
        <v>0</v>
      </c>
      <c r="AK312" s="77"/>
      <c r="AL312" s="64">
        <f t="shared" si="1149"/>
        <v>0</v>
      </c>
      <c r="AM312" s="64">
        <f t="shared" si="1143"/>
        <v>0</v>
      </c>
      <c r="AN312" s="64">
        <f t="shared" si="1144"/>
        <v>0</v>
      </c>
      <c r="AO312" s="165" t="s">
        <v>35</v>
      </c>
    </row>
    <row r="313" spans="1:41" s="1" customFormat="1" ht="13.2" hidden="1" customHeight="1" x14ac:dyDescent="0.25">
      <c r="A313" s="131"/>
      <c r="B313" s="63">
        <f>'Expense Input'!B89</f>
        <v>100</v>
      </c>
      <c r="C313" s="63">
        <f>'Expense Input'!C89</f>
        <v>4000</v>
      </c>
      <c r="D313" s="63">
        <f>'Expense Input'!D89</f>
        <v>7300</v>
      </c>
      <c r="E313" s="63">
        <f>'Expense Input'!E89</f>
        <v>644</v>
      </c>
      <c r="F313" s="63" t="str">
        <f>'Expense Input'!F89</f>
        <v>Noncapitalized Computer Hardware</v>
      </c>
      <c r="G313" s="88">
        <f>'Expense Input'!Q89</f>
        <v>0</v>
      </c>
      <c r="H313" s="88">
        <f>'Expense Input'!R89</f>
        <v>0</v>
      </c>
      <c r="I313" s="88">
        <f>'Expense Input'!S89</f>
        <v>0</v>
      </c>
      <c r="J313" s="129" t="str">
        <f t="shared" si="901"/>
        <v/>
      </c>
      <c r="K313" s="129"/>
      <c r="L313" s="132">
        <f t="shared" si="1150"/>
        <v>0</v>
      </c>
      <c r="M313" s="132">
        <f t="shared" si="998"/>
        <v>0</v>
      </c>
      <c r="N313" s="130"/>
      <c r="O313" s="136"/>
      <c r="P313" s="136">
        <f t="shared" si="1004"/>
        <v>0</v>
      </c>
      <c r="Q313" s="136">
        <f t="shared" si="999"/>
        <v>0</v>
      </c>
      <c r="R313" s="136">
        <f t="shared" si="1000"/>
        <v>0</v>
      </c>
      <c r="S313" s="136">
        <f t="shared" si="1001"/>
        <v>0</v>
      </c>
      <c r="T313" s="136">
        <f t="shared" si="989"/>
        <v>0</v>
      </c>
      <c r="U313" s="136">
        <f t="shared" si="989"/>
        <v>0</v>
      </c>
      <c r="V313" s="136">
        <f t="shared" si="1002"/>
        <v>0</v>
      </c>
      <c r="W313" s="136">
        <f t="shared" si="1003"/>
        <v>0</v>
      </c>
      <c r="X313" s="130">
        <f t="shared" si="854"/>
        <v>0</v>
      </c>
      <c r="Y313" s="129"/>
      <c r="Z313" s="64">
        <f t="shared" si="1146"/>
        <v>0</v>
      </c>
      <c r="AA313" s="64">
        <f t="shared" si="1137"/>
        <v>0</v>
      </c>
      <c r="AB313" s="64">
        <f t="shared" si="1138"/>
        <v>0</v>
      </c>
      <c r="AC313" s="77"/>
      <c r="AD313" s="64">
        <f t="shared" si="1147"/>
        <v>0</v>
      </c>
      <c r="AE313" s="64">
        <f t="shared" si="1139"/>
        <v>0</v>
      </c>
      <c r="AF313" s="64">
        <f t="shared" si="1140"/>
        <v>0</v>
      </c>
      <c r="AG313" s="77"/>
      <c r="AH313" s="64">
        <f t="shared" si="1148"/>
        <v>0</v>
      </c>
      <c r="AI313" s="64">
        <f t="shared" si="1141"/>
        <v>0</v>
      </c>
      <c r="AJ313" s="64">
        <f t="shared" si="1142"/>
        <v>0</v>
      </c>
      <c r="AK313" s="77"/>
      <c r="AL313" s="64">
        <f t="shared" si="1149"/>
        <v>0</v>
      </c>
      <c r="AM313" s="64">
        <f t="shared" si="1143"/>
        <v>0</v>
      </c>
      <c r="AN313" s="64">
        <f t="shared" si="1144"/>
        <v>0</v>
      </c>
      <c r="AO313" s="165" t="s">
        <v>35</v>
      </c>
    </row>
    <row r="314" spans="1:41" s="129" customFormat="1" ht="13.2" customHeight="1" x14ac:dyDescent="0.25">
      <c r="A314" s="131"/>
      <c r="B314" s="63">
        <f>'Expense Input'!B90</f>
        <v>100</v>
      </c>
      <c r="C314" s="63">
        <f>'Expense Input'!C90</f>
        <v>4000</v>
      </c>
      <c r="D314" s="63">
        <f>'Expense Input'!D90</f>
        <v>7300</v>
      </c>
      <c r="E314" s="63">
        <f>'Expense Input'!E90</f>
        <v>690</v>
      </c>
      <c r="F314" s="63" t="str">
        <f>'Expense Input'!F90</f>
        <v>Software</v>
      </c>
      <c r="G314" s="88">
        <f>'Expense Input'!Q90</f>
        <v>4091.1060000000002</v>
      </c>
      <c r="H314" s="88">
        <f>'Expense Input'!R90</f>
        <v>2045.5530000000001</v>
      </c>
      <c r="I314" s="88">
        <f>'Expense Input'!S90</f>
        <v>2045.5530000000001</v>
      </c>
      <c r="J314" s="129" t="str">
        <f t="shared" ref="J314:J317" si="1151">IF(G314&gt;0.49,"*","")</f>
        <v>*</v>
      </c>
      <c r="L314" s="132">
        <f t="shared" ref="L314:L317" si="1152">IF(E314&lt;300,G314,0)</f>
        <v>0</v>
      </c>
      <c r="M314" s="132">
        <f t="shared" ref="M314:M317" si="1153">IF(E314&gt;299,G314,0)</f>
        <v>4091.1060000000002</v>
      </c>
      <c r="N314" s="130"/>
      <c r="O314" s="136"/>
      <c r="P314" s="136">
        <f t="shared" ref="P314:P317" si="1154">IF(B314=490,G314,0)</f>
        <v>0</v>
      </c>
      <c r="Q314" s="136">
        <f t="shared" ref="Q314:Q317" si="1155">IF(B314=410,H314,0)</f>
        <v>0</v>
      </c>
      <c r="R314" s="136">
        <f t="shared" si="1000"/>
        <v>0</v>
      </c>
      <c r="S314" s="136">
        <f t="shared" si="1001"/>
        <v>0</v>
      </c>
      <c r="T314" s="136">
        <f t="shared" si="989"/>
        <v>0</v>
      </c>
      <c r="U314" s="136">
        <f t="shared" si="989"/>
        <v>0</v>
      </c>
      <c r="V314" s="136">
        <f t="shared" si="1002"/>
        <v>0</v>
      </c>
      <c r="W314" s="136">
        <f t="shared" ref="W314:W317" si="1156">IF(B314=410,I314,0)</f>
        <v>0</v>
      </c>
      <c r="X314" s="130">
        <f t="shared" ref="X314:X317" si="1157">+W314+Q314-O314</f>
        <v>0</v>
      </c>
      <c r="Z314" s="64">
        <f t="shared" si="1146"/>
        <v>4132.0170600000001</v>
      </c>
      <c r="AA314" s="64">
        <f t="shared" si="1137"/>
        <v>2066.0085300000001</v>
      </c>
      <c r="AB314" s="64">
        <f t="shared" si="1138"/>
        <v>2066.0085300000001</v>
      </c>
      <c r="AC314" s="77"/>
      <c r="AD314" s="64">
        <f t="shared" si="1147"/>
        <v>4173.3372306000001</v>
      </c>
      <c r="AE314" s="64">
        <f t="shared" si="1139"/>
        <v>2086.6686153000001</v>
      </c>
      <c r="AF314" s="64">
        <f t="shared" si="1140"/>
        <v>2086.6686153000001</v>
      </c>
      <c r="AG314" s="77"/>
      <c r="AH314" s="64">
        <f t="shared" si="1148"/>
        <v>4215.0706029060002</v>
      </c>
      <c r="AI314" s="64">
        <f t="shared" si="1141"/>
        <v>2107.5353014530001</v>
      </c>
      <c r="AJ314" s="64">
        <f t="shared" si="1142"/>
        <v>2107.5353014530001</v>
      </c>
      <c r="AK314" s="77"/>
      <c r="AL314" s="64">
        <f t="shared" si="1149"/>
        <v>4257.2213089350598</v>
      </c>
      <c r="AM314" s="64">
        <f t="shared" si="1143"/>
        <v>2128.6106544675299</v>
      </c>
      <c r="AN314" s="64">
        <f t="shared" si="1144"/>
        <v>2128.6106544675299</v>
      </c>
      <c r="AO314" s="165" t="s">
        <v>35</v>
      </c>
    </row>
    <row r="315" spans="1:41" s="129" customFormat="1" ht="13.2" customHeight="1" x14ac:dyDescent="0.25">
      <c r="A315" s="131"/>
      <c r="B315" s="63">
        <f>'Expense Input'!B91</f>
        <v>100</v>
      </c>
      <c r="C315" s="63">
        <f>'Expense Input'!C91</f>
        <v>4000</v>
      </c>
      <c r="D315" s="63">
        <f>'Expense Input'!D91</f>
        <v>7300</v>
      </c>
      <c r="E315" s="63">
        <f>'Expense Input'!E91</f>
        <v>730</v>
      </c>
      <c r="F315" s="63" t="str">
        <f>'Expense Input'!F91</f>
        <v>Dues &amp; Fees</v>
      </c>
      <c r="G315" s="88">
        <f>'Expense Input'!Q91</f>
        <v>519.43626666666671</v>
      </c>
      <c r="H315" s="88">
        <f>'Expense Input'!R91</f>
        <v>217.39240000000001</v>
      </c>
      <c r="I315" s="88">
        <f>'Expense Input'!S91</f>
        <v>302.0438666666667</v>
      </c>
      <c r="J315" s="129" t="str">
        <f t="shared" si="1151"/>
        <v>*</v>
      </c>
      <c r="L315" s="132">
        <f t="shared" si="1152"/>
        <v>0</v>
      </c>
      <c r="M315" s="132">
        <f t="shared" si="1153"/>
        <v>519.43626666666671</v>
      </c>
      <c r="N315" s="130"/>
      <c r="O315" s="136"/>
      <c r="P315" s="136">
        <f t="shared" si="1154"/>
        <v>0</v>
      </c>
      <c r="Q315" s="136">
        <f t="shared" si="1155"/>
        <v>0</v>
      </c>
      <c r="R315" s="136">
        <f t="shared" ref="R315" si="1158">IF(B315=432,H315,0)</f>
        <v>0</v>
      </c>
      <c r="S315" s="136">
        <f t="shared" si="1001"/>
        <v>0</v>
      </c>
      <c r="T315" s="136">
        <f t="shared" si="989"/>
        <v>0</v>
      </c>
      <c r="U315" s="136">
        <f t="shared" si="989"/>
        <v>0</v>
      </c>
      <c r="V315" s="136">
        <f t="shared" ref="V315" si="1159">IF(B315=360,I315,0)</f>
        <v>0</v>
      </c>
      <c r="W315" s="136">
        <f t="shared" si="1156"/>
        <v>0</v>
      </c>
      <c r="X315" s="130">
        <f t="shared" si="1157"/>
        <v>0</v>
      </c>
      <c r="Z315" s="88"/>
      <c r="AA315" s="88"/>
      <c r="AB315" s="88"/>
      <c r="AD315" s="88"/>
      <c r="AE315" s="88"/>
      <c r="AF315" s="88"/>
      <c r="AH315" s="88"/>
      <c r="AI315" s="88"/>
      <c r="AJ315" s="88"/>
      <c r="AL315" s="88"/>
      <c r="AM315" s="88"/>
      <c r="AN315" s="88"/>
      <c r="AO315" s="165"/>
    </row>
    <row r="316" spans="1:41" s="129" customFormat="1" ht="13.2" hidden="1" customHeight="1" x14ac:dyDescent="0.25">
      <c r="A316" s="131"/>
      <c r="B316" s="63"/>
      <c r="C316" s="63"/>
      <c r="D316" s="63"/>
      <c r="E316" s="63"/>
      <c r="F316" s="63"/>
      <c r="G316" s="88"/>
      <c r="H316" s="88"/>
      <c r="I316" s="88"/>
      <c r="J316" s="129" t="str">
        <f t="shared" ref="J316" si="1160">IF(G316&gt;0.49,"*","")</f>
        <v/>
      </c>
      <c r="L316" s="132">
        <f t="shared" ref="L316" si="1161">IF(E316&lt;300,G316,0)</f>
        <v>0</v>
      </c>
      <c r="M316" s="132">
        <f t="shared" ref="M316" si="1162">IF(E316&gt;299,G316,0)</f>
        <v>0</v>
      </c>
      <c r="N316" s="130"/>
      <c r="O316" s="136"/>
      <c r="P316" s="136">
        <f t="shared" ref="P316" si="1163">IF(B316=490,G316,0)</f>
        <v>0</v>
      </c>
      <c r="Q316" s="136">
        <f t="shared" ref="Q316" si="1164">IF(B316=410,H316,0)</f>
        <v>0</v>
      </c>
      <c r="R316" s="136">
        <f t="shared" si="1000"/>
        <v>0</v>
      </c>
      <c r="S316" s="136">
        <f t="shared" si="1001"/>
        <v>0</v>
      </c>
      <c r="T316" s="136">
        <f t="shared" si="989"/>
        <v>0</v>
      </c>
      <c r="U316" s="136">
        <f t="shared" si="989"/>
        <v>0</v>
      </c>
      <c r="V316" s="136">
        <f t="shared" si="1002"/>
        <v>0</v>
      </c>
      <c r="W316" s="136">
        <f t="shared" ref="W316" si="1165">IF(B316=410,I316,0)</f>
        <v>0</v>
      </c>
      <c r="X316" s="130">
        <f t="shared" ref="X316" si="1166">+W316+Q316-O316</f>
        <v>0</v>
      </c>
      <c r="Z316" s="88"/>
      <c r="AA316" s="88"/>
      <c r="AB316" s="88"/>
      <c r="AD316" s="88"/>
      <c r="AE316" s="88"/>
      <c r="AF316" s="88"/>
      <c r="AH316" s="88"/>
      <c r="AI316" s="88"/>
      <c r="AJ316" s="88"/>
      <c r="AL316" s="88"/>
      <c r="AM316" s="88"/>
      <c r="AN316" s="88"/>
      <c r="AO316" s="165"/>
    </row>
    <row r="317" spans="1:41" s="129" customFormat="1" ht="13.2" hidden="1" customHeight="1" x14ac:dyDescent="0.25">
      <c r="A317" s="131"/>
      <c r="B317" s="63"/>
      <c r="C317" s="63"/>
      <c r="D317" s="63"/>
      <c r="E317" s="63"/>
      <c r="F317" s="63"/>
      <c r="G317" s="88"/>
      <c r="H317" s="88"/>
      <c r="I317" s="88"/>
      <c r="J317" s="129" t="str">
        <f t="shared" si="1151"/>
        <v/>
      </c>
      <c r="L317" s="132">
        <f t="shared" si="1152"/>
        <v>0</v>
      </c>
      <c r="M317" s="132">
        <f t="shared" si="1153"/>
        <v>0</v>
      </c>
      <c r="N317" s="130"/>
      <c r="O317" s="136"/>
      <c r="P317" s="136">
        <f t="shared" si="1154"/>
        <v>0</v>
      </c>
      <c r="Q317" s="136">
        <f t="shared" si="1155"/>
        <v>0</v>
      </c>
      <c r="R317" s="136">
        <f t="shared" ref="R317" si="1167">IF(B317=432,H317,0)</f>
        <v>0</v>
      </c>
      <c r="S317" s="136">
        <f t="shared" si="1001"/>
        <v>0</v>
      </c>
      <c r="T317" s="136">
        <f t="shared" si="989"/>
        <v>0</v>
      </c>
      <c r="U317" s="136">
        <f t="shared" si="989"/>
        <v>0</v>
      </c>
      <c r="V317" s="136">
        <f t="shared" ref="V317" si="1168">IF(B317=360,I317,0)</f>
        <v>0</v>
      </c>
      <c r="W317" s="136">
        <f t="shared" si="1156"/>
        <v>0</v>
      </c>
      <c r="X317" s="130">
        <f t="shared" si="1157"/>
        <v>0</v>
      </c>
      <c r="Z317" s="88"/>
      <c r="AA317" s="88"/>
      <c r="AB317" s="88"/>
      <c r="AD317" s="88"/>
      <c r="AE317" s="88"/>
      <c r="AF317" s="88"/>
      <c r="AH317" s="88"/>
      <c r="AI317" s="88"/>
      <c r="AJ317" s="88"/>
      <c r="AL317" s="88"/>
      <c r="AM317" s="88"/>
      <c r="AN317" s="88"/>
      <c r="AO317" s="165"/>
    </row>
    <row r="318" spans="1:41" s="129" customFormat="1" ht="13.2" hidden="1" customHeight="1" x14ac:dyDescent="0.25">
      <c r="A318" s="131"/>
      <c r="B318" s="63"/>
      <c r="C318" s="63"/>
      <c r="D318" s="63"/>
      <c r="E318" s="63"/>
      <c r="F318" s="63"/>
      <c r="G318" s="88"/>
      <c r="H318" s="88"/>
      <c r="I318" s="88"/>
      <c r="J318" s="129" t="str">
        <f t="shared" ref="J318" si="1169">IF(G318&gt;0.49,"*","")</f>
        <v/>
      </c>
      <c r="L318" s="132">
        <f t="shared" ref="L318" si="1170">IF(E318&lt;300,G318,0)</f>
        <v>0</v>
      </c>
      <c r="M318" s="132">
        <f t="shared" ref="M318" si="1171">IF(E318&gt;299,G318,0)</f>
        <v>0</v>
      </c>
      <c r="N318" s="130"/>
      <c r="O318" s="136"/>
      <c r="P318" s="136">
        <f t="shared" ref="P318" si="1172">IF(B318=490,G318,0)</f>
        <v>0</v>
      </c>
      <c r="Q318" s="136">
        <f t="shared" ref="Q318" si="1173">IF(B318=410,H318,0)</f>
        <v>0</v>
      </c>
      <c r="R318" s="136">
        <f t="shared" si="1000"/>
        <v>0</v>
      </c>
      <c r="S318" s="136">
        <f t="shared" si="1001"/>
        <v>0</v>
      </c>
      <c r="T318" s="136">
        <f t="shared" si="989"/>
        <v>0</v>
      </c>
      <c r="U318" s="136">
        <f t="shared" si="989"/>
        <v>0</v>
      </c>
      <c r="V318" s="136">
        <f t="shared" si="1002"/>
        <v>0</v>
      </c>
      <c r="W318" s="136">
        <f t="shared" ref="W318" si="1174">IF(B318=410,I318,0)</f>
        <v>0</v>
      </c>
      <c r="X318" s="130">
        <f t="shared" ref="X318" si="1175">+W318+Q318-O318</f>
        <v>0</v>
      </c>
      <c r="Z318" s="88"/>
      <c r="AA318" s="88"/>
      <c r="AB318" s="88"/>
      <c r="AD318" s="88"/>
      <c r="AE318" s="88"/>
      <c r="AF318" s="88"/>
      <c r="AH318" s="88"/>
      <c r="AI318" s="88"/>
      <c r="AJ318" s="88"/>
      <c r="AL318" s="88"/>
      <c r="AM318" s="88"/>
      <c r="AN318" s="88"/>
      <c r="AO318" s="165"/>
    </row>
    <row r="319" spans="1:41" x14ac:dyDescent="0.25">
      <c r="A319" s="131"/>
      <c r="B319" s="63"/>
      <c r="C319" s="63"/>
      <c r="D319" s="63"/>
      <c r="E319" s="63"/>
      <c r="F319" s="63"/>
      <c r="G319" s="65"/>
      <c r="H319" s="65"/>
      <c r="I319" s="65"/>
      <c r="J319" s="129" t="str">
        <f>IF(J320="*","*","")</f>
        <v>*</v>
      </c>
      <c r="L319" s="132">
        <f t="shared" si="1150"/>
        <v>0</v>
      </c>
      <c r="M319" s="132">
        <f t="shared" si="998"/>
        <v>0</v>
      </c>
      <c r="N319" s="130"/>
      <c r="O319" s="136"/>
      <c r="P319" s="136">
        <f>IF(B319=432,G319,0)</f>
        <v>0</v>
      </c>
      <c r="Q319" s="136">
        <f t="shared" si="999"/>
        <v>0</v>
      </c>
      <c r="R319" s="136">
        <f t="shared" si="1000"/>
        <v>0</v>
      </c>
      <c r="S319" s="136">
        <f t="shared" si="1001"/>
        <v>0</v>
      </c>
      <c r="T319" s="136">
        <f t="shared" si="989"/>
        <v>0</v>
      </c>
      <c r="U319" s="136">
        <f t="shared" si="989"/>
        <v>0</v>
      </c>
      <c r="V319" s="136">
        <f t="shared" si="1002"/>
        <v>0</v>
      </c>
      <c r="W319" s="136">
        <f t="shared" si="1003"/>
        <v>0</v>
      </c>
      <c r="X319" s="130">
        <f t="shared" si="854"/>
        <v>0</v>
      </c>
      <c r="Z319" s="65"/>
      <c r="AA319" s="65"/>
      <c r="AB319" s="65"/>
      <c r="AD319" s="65"/>
      <c r="AE319" s="65"/>
      <c r="AF319" s="65"/>
      <c r="AH319" s="65"/>
      <c r="AI319" s="65"/>
      <c r="AJ319" s="65"/>
      <c r="AL319" s="65"/>
      <c r="AM319" s="65"/>
      <c r="AN319" s="65"/>
      <c r="AO319" s="165"/>
    </row>
    <row r="320" spans="1:41" x14ac:dyDescent="0.25">
      <c r="A320" s="131"/>
      <c r="F320" s="85" t="s">
        <v>77</v>
      </c>
      <c r="G320" s="86">
        <f>SUM(G280:G319)</f>
        <v>619178.29289424</v>
      </c>
      <c r="H320" s="86">
        <f>SUM(H280:H319)</f>
        <v>316708.42948538664</v>
      </c>
      <c r="I320" s="86">
        <f>SUM(I280:I319)</f>
        <v>302469.86340885336</v>
      </c>
      <c r="J320" s="129" t="str">
        <f>IF(G320&gt;0.49,"*","")</f>
        <v>*</v>
      </c>
      <c r="L320" s="133">
        <f>SUM(L280:L319)</f>
        <v>583833.04254757334</v>
      </c>
      <c r="M320" s="133">
        <f>SUM(M280:M319)</f>
        <v>35345.25034666666</v>
      </c>
      <c r="N320" s="130"/>
      <c r="O320" s="133"/>
      <c r="P320" s="133">
        <f t="shared" ref="P320:X320" si="1176">SUM(P280:P319)</f>
        <v>0</v>
      </c>
      <c r="Q320" s="133">
        <f t="shared" si="1176"/>
        <v>0</v>
      </c>
      <c r="R320" s="133">
        <f t="shared" si="1176"/>
        <v>0</v>
      </c>
      <c r="S320" s="133">
        <f t="shared" si="1176"/>
        <v>0</v>
      </c>
      <c r="T320" s="133">
        <f t="shared" ref="T320" si="1177">SUM(T280:T319)</f>
        <v>0</v>
      </c>
      <c r="U320" s="133">
        <f t="shared" ref="U320" si="1178">SUM(U280:U319)</f>
        <v>0</v>
      </c>
      <c r="V320" s="133">
        <f t="shared" si="1176"/>
        <v>0</v>
      </c>
      <c r="W320" s="133">
        <f t="shared" si="1176"/>
        <v>0</v>
      </c>
      <c r="X320" s="133">
        <f t="shared" si="1176"/>
        <v>0</v>
      </c>
      <c r="Z320" s="86">
        <f>SUM(Z280:Z319)</f>
        <v>965138.68096647237</v>
      </c>
      <c r="AA320" s="86">
        <f>SUM(AA280:AA319)</f>
        <v>432814.71263879142</v>
      </c>
      <c r="AB320" s="86">
        <f>SUM(AB280:AB319)</f>
        <v>532323.96832768084</v>
      </c>
      <c r="AD320" s="86">
        <f>SUM(AD280:AD319)</f>
        <v>974790.06777613668</v>
      </c>
      <c r="AE320" s="86">
        <f>SUM(AE280:AE319)</f>
        <v>437142.85976517922</v>
      </c>
      <c r="AF320" s="86">
        <f>SUM(AF280:AF319)</f>
        <v>537647.20801095769</v>
      </c>
      <c r="AH320" s="86">
        <f>SUM(AH280:AH319)</f>
        <v>1057511.5759447797</v>
      </c>
      <c r="AI320" s="86">
        <f>SUM(AI280:AI319)</f>
        <v>474106.49703348876</v>
      </c>
      <c r="AJ320" s="86">
        <f>SUM(AJ280:AJ319)</f>
        <v>583405.0789112912</v>
      </c>
      <c r="AL320" s="86">
        <f>SUM(AL280:AL319)</f>
        <v>1068086.6917042278</v>
      </c>
      <c r="AM320" s="86">
        <f>SUM(AM280:AM319)</f>
        <v>478847.5620038237</v>
      </c>
      <c r="AN320" s="86">
        <f>SUM(AN280:AN319)</f>
        <v>589239.12970040413</v>
      </c>
      <c r="AO320" s="165"/>
    </row>
    <row r="321" spans="1:41" x14ac:dyDescent="0.25">
      <c r="A321" s="131"/>
      <c r="B321" s="77"/>
      <c r="C321" s="77"/>
      <c r="D321" s="77"/>
      <c r="E321" s="77"/>
      <c r="F321" s="79"/>
      <c r="J321" s="129" t="str">
        <f>IF(J320="*","*","")</f>
        <v>*</v>
      </c>
      <c r="L321" s="132">
        <f t="shared" si="1150"/>
        <v>0</v>
      </c>
      <c r="M321" s="132">
        <f t="shared" ref="M321:M329" si="1179">IF(E321&gt;299,G321,0)</f>
        <v>0</v>
      </c>
      <c r="N321" s="130"/>
      <c r="O321" s="136"/>
      <c r="P321" s="136">
        <f>IF(B321=432,G321,0)</f>
        <v>0</v>
      </c>
      <c r="Q321" s="136">
        <f t="shared" ref="Q321:Q329" si="1180">IF(B321=410,H321,0)</f>
        <v>0</v>
      </c>
      <c r="R321" s="136">
        <f t="shared" ref="R321:R329" si="1181">IF(B321=432,H321,0)</f>
        <v>0</v>
      </c>
      <c r="S321" s="136">
        <f t="shared" ref="S321:S329" si="1182">IF(B321=432,I321,0)</f>
        <v>0</v>
      </c>
      <c r="T321" s="136">
        <f t="shared" si="989"/>
        <v>0</v>
      </c>
      <c r="U321" s="136">
        <f t="shared" si="989"/>
        <v>0</v>
      </c>
      <c r="V321" s="136">
        <f t="shared" ref="V321:V329" si="1183">IF(B321=360,I321,0)</f>
        <v>0</v>
      </c>
      <c r="W321" s="136">
        <f t="shared" ref="W321:W329" si="1184">IF(B321=410,I321,0)</f>
        <v>0</v>
      </c>
      <c r="X321" s="130">
        <f t="shared" si="854"/>
        <v>0</v>
      </c>
      <c r="AO321" s="165"/>
    </row>
    <row r="322" spans="1:41" ht="13.2" customHeight="1" x14ac:dyDescent="0.25">
      <c r="A322" s="131"/>
      <c r="B322" s="63">
        <f>'Expense Input'!B92</f>
        <v>100</v>
      </c>
      <c r="C322" s="63">
        <f>'Expense Input'!C92</f>
        <v>4000</v>
      </c>
      <c r="D322" s="63">
        <f>'Expense Input'!D92</f>
        <v>7400</v>
      </c>
      <c r="E322" s="63">
        <f>'Expense Input'!E92</f>
        <v>310</v>
      </c>
      <c r="F322" s="63" t="str">
        <f>'Expense Input'!F92</f>
        <v>Contracted Services</v>
      </c>
      <c r="G322" s="64">
        <f>+I322+H322</f>
        <v>999.9</v>
      </c>
      <c r="H322" s="64">
        <f>'Expense Input'!R92</f>
        <v>0</v>
      </c>
      <c r="I322" s="64">
        <f>'Expense Input'!S92</f>
        <v>999.9</v>
      </c>
      <c r="J322" s="129" t="str">
        <f t="shared" ref="J322:J323" si="1185">IF(G322&gt;0.49,"*","")</f>
        <v>*</v>
      </c>
      <c r="L322" s="132">
        <f t="shared" ref="L322:L323" si="1186">IF(E322&lt;300,G322,0)</f>
        <v>0</v>
      </c>
      <c r="M322" s="132">
        <f t="shared" si="1179"/>
        <v>999.9</v>
      </c>
      <c r="N322" s="130"/>
      <c r="O322" s="136"/>
      <c r="P322" s="136">
        <f t="shared" ref="P322:P328" si="1187">IF(B322=490,G322,0)</f>
        <v>0</v>
      </c>
      <c r="Q322" s="136">
        <f t="shared" si="1180"/>
        <v>0</v>
      </c>
      <c r="R322" s="136">
        <f t="shared" ref="R322:R323" si="1188">IF(B322=432,H322,0)</f>
        <v>0</v>
      </c>
      <c r="S322" s="136">
        <f t="shared" si="1182"/>
        <v>0</v>
      </c>
      <c r="T322" s="136">
        <f t="shared" si="989"/>
        <v>0</v>
      </c>
      <c r="U322" s="136">
        <f t="shared" si="989"/>
        <v>0</v>
      </c>
      <c r="V322" s="136">
        <f t="shared" ref="V322:V323" si="1189">IF(B322=360,I322,0)</f>
        <v>0</v>
      </c>
      <c r="W322" s="136">
        <f t="shared" si="1184"/>
        <v>0</v>
      </c>
      <c r="X322" s="130">
        <f t="shared" ref="X322:X323" si="1190">+W322+Q322-O322</f>
        <v>0</v>
      </c>
      <c r="Z322" s="64">
        <f t="shared" ref="Z322:Z326" si="1191">AA322+AB322</f>
        <v>1009.899</v>
      </c>
      <c r="AA322" s="64">
        <f t="shared" ref="AA322:AB326" si="1192">+H322*Inf</f>
        <v>0</v>
      </c>
      <c r="AB322" s="64">
        <f t="shared" si="1192"/>
        <v>1009.899</v>
      </c>
      <c r="AD322" s="64">
        <f t="shared" ref="AD322:AD326" si="1193">AE322+AF322</f>
        <v>1019.99799</v>
      </c>
      <c r="AE322" s="64">
        <f t="shared" ref="AE322:AF326" si="1194">+AA322*Inf</f>
        <v>0</v>
      </c>
      <c r="AF322" s="64">
        <f t="shared" si="1194"/>
        <v>1019.99799</v>
      </c>
      <c r="AH322" s="64">
        <f t="shared" ref="AH322:AH326" si="1195">AI322+AJ322</f>
        <v>1030.1979698999999</v>
      </c>
      <c r="AI322" s="64">
        <f t="shared" ref="AI322:AJ326" si="1196">+AE322*Inf</f>
        <v>0</v>
      </c>
      <c r="AJ322" s="64">
        <f t="shared" si="1196"/>
        <v>1030.1979698999999</v>
      </c>
      <c r="AL322" s="64">
        <f t="shared" ref="AL322:AL326" si="1197">AM322+AN322</f>
        <v>1040.4999495989998</v>
      </c>
      <c r="AM322" s="64">
        <f t="shared" ref="AM322:AN326" si="1198">+AI322*Inf</f>
        <v>0</v>
      </c>
      <c r="AN322" s="64">
        <f t="shared" si="1198"/>
        <v>1040.4999495989998</v>
      </c>
      <c r="AO322" s="165" t="s">
        <v>35</v>
      </c>
    </row>
    <row r="323" spans="1:41" ht="13.2" hidden="1" customHeight="1" x14ac:dyDescent="0.25">
      <c r="A323" s="131"/>
      <c r="B323" s="63">
        <f>'Expense Input'!B93</f>
        <v>100</v>
      </c>
      <c r="C323" s="63">
        <f>'Expense Input'!C93</f>
        <v>4000</v>
      </c>
      <c r="D323" s="63">
        <f>'Expense Input'!D93</f>
        <v>7400</v>
      </c>
      <c r="E323" s="63">
        <f>'Expense Input'!E93</f>
        <v>630</v>
      </c>
      <c r="F323" s="63" t="str">
        <f>'Expense Input'!F93</f>
        <v>Facility Cost</v>
      </c>
      <c r="G323" s="64">
        <f t="shared" ref="G323" si="1199">+I323+H323</f>
        <v>0</v>
      </c>
      <c r="H323" s="64">
        <f>'Expense Input'!R93</f>
        <v>0</v>
      </c>
      <c r="I323" s="64">
        <f>'Expense Input'!S93</f>
        <v>0</v>
      </c>
      <c r="J323" s="129" t="str">
        <f t="shared" si="1185"/>
        <v/>
      </c>
      <c r="L323" s="132">
        <f t="shared" si="1186"/>
        <v>0</v>
      </c>
      <c r="M323" s="132">
        <f t="shared" ref="M323" si="1200">IF(E323&gt;299,G323,0)</f>
        <v>0</v>
      </c>
      <c r="N323" s="130"/>
      <c r="O323" s="136"/>
      <c r="P323" s="136">
        <f t="shared" ref="P323" si="1201">IF(B323=490,G323,0)</f>
        <v>0</v>
      </c>
      <c r="Q323" s="136">
        <f t="shared" ref="Q323" si="1202">IF(B323=410,H323,0)</f>
        <v>0</v>
      </c>
      <c r="R323" s="136">
        <f t="shared" si="1188"/>
        <v>0</v>
      </c>
      <c r="S323" s="136">
        <f t="shared" ref="S323" si="1203">IF(B323=432,I323,0)</f>
        <v>0</v>
      </c>
      <c r="T323" s="136">
        <f t="shared" ref="T323" si="1204">IF($B323=435,H323,0)</f>
        <v>0</v>
      </c>
      <c r="U323" s="136">
        <f t="shared" ref="U323" si="1205">IF($B323=435,I323,0)</f>
        <v>0</v>
      </c>
      <c r="V323" s="136">
        <f t="shared" si="1189"/>
        <v>0</v>
      </c>
      <c r="W323" s="136">
        <f t="shared" ref="W323" si="1206">IF(B323=410,I323,0)</f>
        <v>0</v>
      </c>
      <c r="X323" s="130">
        <f t="shared" si="1190"/>
        <v>0</v>
      </c>
      <c r="Z323" s="64">
        <f t="shared" ref="Z323" si="1207">AA323+AB323</f>
        <v>0</v>
      </c>
      <c r="AA323" s="64">
        <f t="shared" ref="AA323" si="1208">+H323*Inf</f>
        <v>0</v>
      </c>
      <c r="AB323" s="64">
        <f t="shared" ref="AB323" si="1209">+I323*Inf</f>
        <v>0</v>
      </c>
      <c r="AD323" s="64">
        <f t="shared" ref="AD323" si="1210">AE323+AF323</f>
        <v>0</v>
      </c>
      <c r="AE323" s="64">
        <f t="shared" ref="AE323" si="1211">+AA323*Inf</f>
        <v>0</v>
      </c>
      <c r="AF323" s="64">
        <f t="shared" ref="AF323" si="1212">+AB323*Inf</f>
        <v>0</v>
      </c>
      <c r="AH323" s="64">
        <f t="shared" ref="AH323" si="1213">AI323+AJ323</f>
        <v>0</v>
      </c>
      <c r="AI323" s="64">
        <f t="shared" ref="AI323" si="1214">+AE323*Inf</f>
        <v>0</v>
      </c>
      <c r="AJ323" s="64">
        <f t="shared" ref="AJ323" si="1215">+AF323*Inf</f>
        <v>0</v>
      </c>
      <c r="AL323" s="64">
        <f t="shared" ref="AL323" si="1216">AM323+AN323</f>
        <v>0</v>
      </c>
      <c r="AM323" s="64">
        <f t="shared" ref="AM323" si="1217">+AI323*Inf</f>
        <v>0</v>
      </c>
      <c r="AN323" s="64">
        <f t="shared" ref="AN323" si="1218">+AJ323*Inf</f>
        <v>0</v>
      </c>
      <c r="AO323" s="165" t="s">
        <v>35</v>
      </c>
    </row>
    <row r="324" spans="1:41" ht="13.2" hidden="1" customHeight="1" x14ac:dyDescent="0.25">
      <c r="A324" s="131"/>
      <c r="B324" s="63">
        <f>'Expense Input'!B94</f>
        <v>360</v>
      </c>
      <c r="C324" s="63">
        <f>'Expense Input'!C94</f>
        <v>4000</v>
      </c>
      <c r="D324" s="63">
        <f>'Expense Input'!D94</f>
        <v>7400</v>
      </c>
      <c r="E324" s="63">
        <f>'Expense Input'!E94</f>
        <v>630</v>
      </c>
      <c r="F324" s="63" t="str">
        <f>'Expense Input'!F94</f>
        <v>Facility Cost</v>
      </c>
      <c r="G324" s="64">
        <f t="shared" ref="G324:G326" si="1219">+I324+H324</f>
        <v>0</v>
      </c>
      <c r="H324" s="64">
        <f>'Expense Input'!R94</f>
        <v>0</v>
      </c>
      <c r="I324" s="64">
        <f>'Expense Input'!S94</f>
        <v>0</v>
      </c>
      <c r="J324" s="129" t="str">
        <f t="shared" ref="J324" si="1220">IF(G324&gt;0.49,"*","")</f>
        <v/>
      </c>
      <c r="L324" s="132">
        <f t="shared" si="1150"/>
        <v>0</v>
      </c>
      <c r="M324" s="132">
        <f t="shared" si="1179"/>
        <v>0</v>
      </c>
      <c r="N324" s="130"/>
      <c r="O324" s="136"/>
      <c r="P324" s="136">
        <f t="shared" si="1187"/>
        <v>0</v>
      </c>
      <c r="Q324" s="136">
        <f t="shared" si="1180"/>
        <v>0</v>
      </c>
      <c r="R324" s="136">
        <f t="shared" si="1181"/>
        <v>0</v>
      </c>
      <c r="S324" s="136">
        <f t="shared" si="1182"/>
        <v>0</v>
      </c>
      <c r="T324" s="136">
        <f t="shared" si="989"/>
        <v>0</v>
      </c>
      <c r="U324" s="136">
        <f t="shared" si="989"/>
        <v>0</v>
      </c>
      <c r="V324" s="136">
        <f t="shared" si="1183"/>
        <v>0</v>
      </c>
      <c r="W324" s="136">
        <f t="shared" si="1184"/>
        <v>0</v>
      </c>
      <c r="X324" s="130">
        <f t="shared" si="854"/>
        <v>0</v>
      </c>
      <c r="Z324" s="64">
        <f t="shared" si="1191"/>
        <v>0</v>
      </c>
      <c r="AA324" s="64">
        <f t="shared" si="1192"/>
        <v>0</v>
      </c>
      <c r="AB324" s="64">
        <f t="shared" si="1192"/>
        <v>0</v>
      </c>
      <c r="AD324" s="64">
        <f t="shared" si="1193"/>
        <v>0</v>
      </c>
      <c r="AE324" s="64">
        <f t="shared" si="1194"/>
        <v>0</v>
      </c>
      <c r="AF324" s="64">
        <f t="shared" si="1194"/>
        <v>0</v>
      </c>
      <c r="AH324" s="64">
        <f t="shared" si="1195"/>
        <v>0</v>
      </c>
      <c r="AI324" s="64">
        <f t="shared" si="1196"/>
        <v>0</v>
      </c>
      <c r="AJ324" s="64">
        <f t="shared" si="1196"/>
        <v>0</v>
      </c>
      <c r="AL324" s="64">
        <f t="shared" si="1197"/>
        <v>0</v>
      </c>
      <c r="AM324" s="64">
        <f t="shared" si="1198"/>
        <v>0</v>
      </c>
      <c r="AN324" s="64">
        <f t="shared" si="1198"/>
        <v>0</v>
      </c>
      <c r="AO324" s="165" t="s">
        <v>35</v>
      </c>
    </row>
    <row r="325" spans="1:41" ht="13.2" hidden="1" customHeight="1" x14ac:dyDescent="0.25">
      <c r="A325" s="131"/>
      <c r="B325" s="63">
        <f>'Expense Input'!B95</f>
        <v>495</v>
      </c>
      <c r="C325" s="63">
        <f>'Expense Input'!C95</f>
        <v>4000</v>
      </c>
      <c r="D325" s="63">
        <f>'Expense Input'!D95</f>
        <v>7400</v>
      </c>
      <c r="E325" s="63">
        <f>'Expense Input'!E95</f>
        <v>630</v>
      </c>
      <c r="F325" s="63" t="str">
        <f>'Expense Input'!F95</f>
        <v>Building and Fixed Equipment</v>
      </c>
      <c r="G325" s="64">
        <f t="shared" si="1219"/>
        <v>0</v>
      </c>
      <c r="H325" s="64">
        <f>'Expense Input'!R95</f>
        <v>0</v>
      </c>
      <c r="I325" s="64">
        <f>'Expense Input'!S95</f>
        <v>0</v>
      </c>
      <c r="J325" s="129" t="str">
        <f t="shared" ref="J325" si="1221">IF(G325&gt;0.49,"*","")</f>
        <v/>
      </c>
      <c r="L325" s="132">
        <f t="shared" ref="L325" si="1222">IF(E325&lt;300,G325,0)</f>
        <v>0</v>
      </c>
      <c r="M325" s="132">
        <f t="shared" si="1179"/>
        <v>0</v>
      </c>
      <c r="N325" s="130"/>
      <c r="O325" s="136"/>
      <c r="P325" s="136">
        <f t="shared" si="1187"/>
        <v>0</v>
      </c>
      <c r="Q325" s="136">
        <f t="shared" si="1180"/>
        <v>0</v>
      </c>
      <c r="R325" s="136">
        <f t="shared" ref="R325" si="1223">IF(B325=432,H325,0)</f>
        <v>0</v>
      </c>
      <c r="S325" s="136">
        <f t="shared" si="1182"/>
        <v>0</v>
      </c>
      <c r="T325" s="136">
        <f t="shared" si="989"/>
        <v>0</v>
      </c>
      <c r="U325" s="136">
        <f t="shared" si="989"/>
        <v>0</v>
      </c>
      <c r="V325" s="136">
        <f t="shared" ref="V325" si="1224">IF(B325=360,I325,0)</f>
        <v>0</v>
      </c>
      <c r="W325" s="136">
        <f t="shared" si="1184"/>
        <v>0</v>
      </c>
      <c r="X325" s="130">
        <f t="shared" ref="X325" si="1225">+W325+Q325-O325</f>
        <v>0</v>
      </c>
      <c r="Z325" s="64">
        <f t="shared" si="1191"/>
        <v>0</v>
      </c>
      <c r="AA325" s="64">
        <f t="shared" si="1192"/>
        <v>0</v>
      </c>
      <c r="AB325" s="64">
        <f t="shared" si="1192"/>
        <v>0</v>
      </c>
      <c r="AD325" s="64">
        <f t="shared" si="1193"/>
        <v>0</v>
      </c>
      <c r="AE325" s="64">
        <f t="shared" si="1194"/>
        <v>0</v>
      </c>
      <c r="AF325" s="64">
        <f t="shared" si="1194"/>
        <v>0</v>
      </c>
      <c r="AH325" s="64">
        <f t="shared" si="1195"/>
        <v>0</v>
      </c>
      <c r="AI325" s="64">
        <f t="shared" si="1196"/>
        <v>0</v>
      </c>
      <c r="AJ325" s="64">
        <f t="shared" si="1196"/>
        <v>0</v>
      </c>
      <c r="AL325" s="64">
        <f t="shared" si="1197"/>
        <v>0</v>
      </c>
      <c r="AM325" s="64">
        <f t="shared" si="1198"/>
        <v>0</v>
      </c>
      <c r="AN325" s="64">
        <f t="shared" si="1198"/>
        <v>0</v>
      </c>
      <c r="AO325" s="165" t="s">
        <v>35</v>
      </c>
    </row>
    <row r="326" spans="1:41" ht="13.2" hidden="1" customHeight="1" x14ac:dyDescent="0.25">
      <c r="A326" s="131"/>
      <c r="B326" s="63">
        <f>'Expense Input'!B96</f>
        <v>495</v>
      </c>
      <c r="C326" s="63">
        <f>'Expense Input'!C96</f>
        <v>4000</v>
      </c>
      <c r="D326" s="63">
        <f>'Expense Input'!D96</f>
        <v>7400</v>
      </c>
      <c r="E326" s="63">
        <f>'Expense Input'!E96</f>
        <v>670</v>
      </c>
      <c r="F326" s="63" t="str">
        <f>'Expense Input'!F96</f>
        <v>Improvements other than Building</v>
      </c>
      <c r="G326" s="64">
        <f t="shared" si="1219"/>
        <v>0</v>
      </c>
      <c r="H326" s="64">
        <f>'Expense Input'!R96</f>
        <v>0</v>
      </c>
      <c r="I326" s="64">
        <f>'Expense Input'!S96</f>
        <v>0</v>
      </c>
      <c r="J326" s="129" t="str">
        <f t="shared" ref="J326" si="1226">IF(G326&gt;0.49,"*","")</f>
        <v/>
      </c>
      <c r="L326" s="132">
        <f t="shared" si="1150"/>
        <v>0</v>
      </c>
      <c r="M326" s="132">
        <f t="shared" si="1179"/>
        <v>0</v>
      </c>
      <c r="N326" s="130"/>
      <c r="O326" s="136"/>
      <c r="P326" s="136">
        <f t="shared" si="1187"/>
        <v>0</v>
      </c>
      <c r="Q326" s="136">
        <f t="shared" si="1180"/>
        <v>0</v>
      </c>
      <c r="R326" s="136">
        <f t="shared" si="1181"/>
        <v>0</v>
      </c>
      <c r="S326" s="136">
        <f t="shared" si="1182"/>
        <v>0</v>
      </c>
      <c r="T326" s="136">
        <f t="shared" si="989"/>
        <v>0</v>
      </c>
      <c r="U326" s="136">
        <f t="shared" si="989"/>
        <v>0</v>
      </c>
      <c r="V326" s="136">
        <f t="shared" si="1183"/>
        <v>0</v>
      </c>
      <c r="W326" s="136">
        <f t="shared" si="1184"/>
        <v>0</v>
      </c>
      <c r="X326" s="130">
        <f t="shared" si="854"/>
        <v>0</v>
      </c>
      <c r="Z326" s="64">
        <f t="shared" si="1191"/>
        <v>0</v>
      </c>
      <c r="AA326" s="64">
        <f t="shared" si="1192"/>
        <v>0</v>
      </c>
      <c r="AB326" s="64">
        <f t="shared" si="1192"/>
        <v>0</v>
      </c>
      <c r="AD326" s="64">
        <f t="shared" si="1193"/>
        <v>0</v>
      </c>
      <c r="AE326" s="64">
        <f t="shared" si="1194"/>
        <v>0</v>
      </c>
      <c r="AF326" s="64">
        <f t="shared" si="1194"/>
        <v>0</v>
      </c>
      <c r="AH326" s="64">
        <f t="shared" si="1195"/>
        <v>0</v>
      </c>
      <c r="AI326" s="64">
        <f t="shared" si="1196"/>
        <v>0</v>
      </c>
      <c r="AJ326" s="64">
        <f t="shared" si="1196"/>
        <v>0</v>
      </c>
      <c r="AL326" s="64">
        <f t="shared" si="1197"/>
        <v>0</v>
      </c>
      <c r="AM326" s="64">
        <f t="shared" si="1198"/>
        <v>0</v>
      </c>
      <c r="AN326" s="64">
        <f t="shared" si="1198"/>
        <v>0</v>
      </c>
      <c r="AO326" s="165" t="s">
        <v>35</v>
      </c>
    </row>
    <row r="327" spans="1:41" hidden="1" x14ac:dyDescent="0.25">
      <c r="A327" s="131"/>
      <c r="B327" s="63"/>
      <c r="C327" s="63"/>
      <c r="D327" s="63"/>
      <c r="E327" s="63"/>
      <c r="F327" s="63"/>
      <c r="G327" s="64"/>
      <c r="H327" s="64"/>
      <c r="I327" s="64"/>
      <c r="J327" s="129" t="str">
        <f t="shared" si="901"/>
        <v/>
      </c>
      <c r="L327" s="132">
        <f t="shared" si="1150"/>
        <v>0</v>
      </c>
      <c r="M327" s="132">
        <f t="shared" si="1179"/>
        <v>0</v>
      </c>
      <c r="N327" s="130"/>
      <c r="O327" s="136"/>
      <c r="P327" s="136">
        <f t="shared" si="1187"/>
        <v>0</v>
      </c>
      <c r="Q327" s="136">
        <f t="shared" si="1180"/>
        <v>0</v>
      </c>
      <c r="R327" s="136">
        <f t="shared" si="1181"/>
        <v>0</v>
      </c>
      <c r="S327" s="136">
        <f t="shared" si="1182"/>
        <v>0</v>
      </c>
      <c r="T327" s="136">
        <f t="shared" si="989"/>
        <v>0</v>
      </c>
      <c r="U327" s="136">
        <f t="shared" si="989"/>
        <v>0</v>
      </c>
      <c r="V327" s="136">
        <f t="shared" si="1183"/>
        <v>0</v>
      </c>
      <c r="W327" s="136">
        <f t="shared" si="1184"/>
        <v>0</v>
      </c>
      <c r="X327" s="130">
        <f t="shared" ref="X327:X419" si="1227">+W327+Q327-O327</f>
        <v>0</v>
      </c>
      <c r="Z327" s="64"/>
      <c r="AA327" s="64"/>
      <c r="AB327" s="64"/>
      <c r="AD327" s="64"/>
      <c r="AE327" s="64"/>
      <c r="AF327" s="64"/>
      <c r="AH327" s="64"/>
      <c r="AI327" s="64"/>
      <c r="AJ327" s="64"/>
      <c r="AL327" s="64"/>
      <c r="AM327" s="64"/>
      <c r="AN327" s="64"/>
      <c r="AO327" s="165"/>
    </row>
    <row r="328" spans="1:41" s="1" customFormat="1" ht="13.2" hidden="1" customHeight="1" x14ac:dyDescent="0.25">
      <c r="A328" s="131"/>
      <c r="B328" s="63"/>
      <c r="C328" s="63"/>
      <c r="D328" s="63"/>
      <c r="E328" s="63"/>
      <c r="F328" s="63"/>
      <c r="G328" s="64"/>
      <c r="H328" s="64"/>
      <c r="I328" s="64"/>
      <c r="J328" s="129" t="str">
        <f t="shared" si="901"/>
        <v/>
      </c>
      <c r="K328" s="129"/>
      <c r="L328" s="132">
        <f t="shared" si="1150"/>
        <v>0</v>
      </c>
      <c r="M328" s="132">
        <f t="shared" si="1179"/>
        <v>0</v>
      </c>
      <c r="N328" s="130"/>
      <c r="O328" s="136"/>
      <c r="P328" s="136">
        <f t="shared" si="1187"/>
        <v>0</v>
      </c>
      <c r="Q328" s="136">
        <f t="shared" si="1180"/>
        <v>0</v>
      </c>
      <c r="R328" s="136">
        <f t="shared" si="1181"/>
        <v>0</v>
      </c>
      <c r="S328" s="136">
        <f t="shared" si="1182"/>
        <v>0</v>
      </c>
      <c r="T328" s="136">
        <f t="shared" si="989"/>
        <v>0</v>
      </c>
      <c r="U328" s="136">
        <f t="shared" si="989"/>
        <v>0</v>
      </c>
      <c r="V328" s="136">
        <f t="shared" si="1183"/>
        <v>0</v>
      </c>
      <c r="W328" s="136">
        <f t="shared" si="1184"/>
        <v>0</v>
      </c>
      <c r="X328" s="130">
        <f t="shared" si="1227"/>
        <v>0</v>
      </c>
      <c r="Y328" s="129"/>
      <c r="Z328" s="64"/>
      <c r="AA328" s="64"/>
      <c r="AB328" s="64"/>
      <c r="AC328" s="129"/>
      <c r="AD328" s="64"/>
      <c r="AE328" s="64"/>
      <c r="AF328" s="64"/>
      <c r="AG328" s="129"/>
      <c r="AH328" s="64"/>
      <c r="AI328" s="64"/>
      <c r="AJ328" s="64"/>
      <c r="AK328" s="129"/>
      <c r="AL328" s="64"/>
      <c r="AM328" s="64"/>
      <c r="AN328" s="64"/>
      <c r="AO328" s="165"/>
    </row>
    <row r="329" spans="1:41" x14ac:dyDescent="0.25">
      <c r="A329" s="131"/>
      <c r="B329" s="77"/>
      <c r="C329" s="77"/>
      <c r="D329" s="77"/>
      <c r="E329" s="77"/>
      <c r="G329" s="65"/>
      <c r="H329" s="65"/>
      <c r="I329" s="65"/>
      <c r="J329" s="129" t="str">
        <f>IF(J330="*","*","")</f>
        <v>*</v>
      </c>
      <c r="L329" s="132">
        <f t="shared" si="1150"/>
        <v>0</v>
      </c>
      <c r="M329" s="132">
        <f t="shared" si="1179"/>
        <v>0</v>
      </c>
      <c r="N329" s="130"/>
      <c r="O329" s="136"/>
      <c r="P329" s="136">
        <f>IF(B329=432,G329,0)</f>
        <v>0</v>
      </c>
      <c r="Q329" s="136">
        <f t="shared" si="1180"/>
        <v>0</v>
      </c>
      <c r="R329" s="136">
        <f t="shared" si="1181"/>
        <v>0</v>
      </c>
      <c r="S329" s="136">
        <f t="shared" si="1182"/>
        <v>0</v>
      </c>
      <c r="T329" s="136">
        <f t="shared" si="989"/>
        <v>0</v>
      </c>
      <c r="U329" s="136">
        <f t="shared" si="989"/>
        <v>0</v>
      </c>
      <c r="V329" s="136">
        <f t="shared" si="1183"/>
        <v>0</v>
      </c>
      <c r="W329" s="136">
        <f t="shared" si="1184"/>
        <v>0</v>
      </c>
      <c r="X329" s="130">
        <f t="shared" si="1227"/>
        <v>0</v>
      </c>
      <c r="Z329" s="65"/>
      <c r="AA329" s="65"/>
      <c r="AB329" s="65"/>
      <c r="AD329" s="65"/>
      <c r="AE329" s="65"/>
      <c r="AF329" s="65"/>
      <c r="AH329" s="65"/>
      <c r="AI329" s="65"/>
      <c r="AJ329" s="65"/>
      <c r="AL329" s="65"/>
      <c r="AM329" s="65"/>
      <c r="AN329" s="65"/>
      <c r="AO329" s="165"/>
    </row>
    <row r="330" spans="1:41" x14ac:dyDescent="0.25">
      <c r="A330" s="131"/>
      <c r="B330" s="77"/>
      <c r="C330" s="77"/>
      <c r="D330" s="77"/>
      <c r="E330" s="77"/>
      <c r="F330" s="85" t="s">
        <v>78</v>
      </c>
      <c r="G330" s="86">
        <f>SUM(G321:G329)</f>
        <v>999.9</v>
      </c>
      <c r="H330" s="86">
        <f t="shared" ref="H330:I330" si="1228">SUM(H321:H329)</f>
        <v>0</v>
      </c>
      <c r="I330" s="86">
        <f t="shared" si="1228"/>
        <v>999.9</v>
      </c>
      <c r="J330" s="129" t="str">
        <f>IF(G330&gt;0.49,"*","")</f>
        <v>*</v>
      </c>
      <c r="L330" s="86">
        <f t="shared" ref="L330:M330" si="1229">SUM(L321:L329)</f>
        <v>0</v>
      </c>
      <c r="M330" s="86">
        <f t="shared" si="1229"/>
        <v>999.9</v>
      </c>
      <c r="N330" s="130"/>
      <c r="O330" s="86">
        <f t="shared" ref="O330" si="1230">SUM(O321:O329)</f>
        <v>0</v>
      </c>
      <c r="P330" s="86">
        <f t="shared" ref="P330" si="1231">SUM(P321:P329)</f>
        <v>0</v>
      </c>
      <c r="Q330" s="86">
        <f t="shared" ref="Q330" si="1232">SUM(Q321:Q329)</f>
        <v>0</v>
      </c>
      <c r="R330" s="86">
        <f t="shared" ref="R330:U330" si="1233">SUM(R321:R329)</f>
        <v>0</v>
      </c>
      <c r="S330" s="86">
        <f t="shared" si="1233"/>
        <v>0</v>
      </c>
      <c r="T330" s="86">
        <f t="shared" si="1233"/>
        <v>0</v>
      </c>
      <c r="U330" s="86">
        <f t="shared" si="1233"/>
        <v>0</v>
      </c>
      <c r="V330" s="86">
        <f t="shared" ref="V330" si="1234">SUM(V321:V329)</f>
        <v>0</v>
      </c>
      <c r="W330" s="86">
        <f t="shared" ref="W330" si="1235">SUM(W321:W329)</f>
        <v>0</v>
      </c>
      <c r="X330" s="86">
        <f t="shared" ref="X330" si="1236">SUM(X321:X329)</f>
        <v>0</v>
      </c>
      <c r="Z330" s="86">
        <f>SUM(Z321:Z329)</f>
        <v>1009.899</v>
      </c>
      <c r="AA330" s="86">
        <f t="shared" ref="AA330:AB330" si="1237">SUM(AA321:AA329)</f>
        <v>0</v>
      </c>
      <c r="AB330" s="86">
        <f t="shared" si="1237"/>
        <v>1009.899</v>
      </c>
      <c r="AD330" s="86">
        <f>SUM(AD321:AD329)</f>
        <v>1019.99799</v>
      </c>
      <c r="AE330" s="86">
        <f t="shared" ref="AE330:AF330" si="1238">SUM(AE321:AE329)</f>
        <v>0</v>
      </c>
      <c r="AF330" s="86">
        <f t="shared" si="1238"/>
        <v>1019.99799</v>
      </c>
      <c r="AH330" s="86">
        <f>SUM(AH321:AH329)</f>
        <v>1030.1979698999999</v>
      </c>
      <c r="AI330" s="86">
        <f t="shared" ref="AI330:AJ330" si="1239">SUM(AI321:AI329)</f>
        <v>0</v>
      </c>
      <c r="AJ330" s="86">
        <f t="shared" si="1239"/>
        <v>1030.1979698999999</v>
      </c>
      <c r="AL330" s="86">
        <f>SUM(AL321:AL329)</f>
        <v>1040.4999495989998</v>
      </c>
      <c r="AM330" s="86">
        <f t="shared" ref="AM330:AN330" si="1240">SUM(AM321:AM329)</f>
        <v>0</v>
      </c>
      <c r="AN330" s="86">
        <f t="shared" si="1240"/>
        <v>1040.4999495989998</v>
      </c>
      <c r="AO330" s="165"/>
    </row>
    <row r="331" spans="1:41" x14ac:dyDescent="0.25">
      <c r="A331" s="131"/>
      <c r="B331" s="77"/>
      <c r="C331" s="77"/>
      <c r="D331" s="77"/>
      <c r="E331" s="77"/>
      <c r="F331" s="85"/>
      <c r="G331" s="92"/>
      <c r="H331" s="92"/>
      <c r="I331" s="92"/>
      <c r="J331" s="129" t="str">
        <f>IF(J330="*","*","")</f>
        <v>*</v>
      </c>
      <c r="L331" s="132">
        <f t="shared" si="1150"/>
        <v>0</v>
      </c>
      <c r="M331" s="132">
        <f>IF(E331&gt;299,G331,0)</f>
        <v>0</v>
      </c>
      <c r="N331" s="130"/>
      <c r="O331" s="136"/>
      <c r="P331" s="136">
        <f>IF(B331=432,G331,0)</f>
        <v>0</v>
      </c>
      <c r="Q331" s="136">
        <f>IF(B331=410,H331,0)</f>
        <v>0</v>
      </c>
      <c r="R331" s="136">
        <f t="shared" ref="R331:R335" si="1241">IF(B331=432,H331,0)</f>
        <v>0</v>
      </c>
      <c r="S331" s="136">
        <f t="shared" ref="S331:S335" si="1242">IF(B331=432,I331,0)</f>
        <v>0</v>
      </c>
      <c r="T331" s="136">
        <f t="shared" si="989"/>
        <v>0</v>
      </c>
      <c r="U331" s="136">
        <f t="shared" si="989"/>
        <v>0</v>
      </c>
      <c r="V331" s="136">
        <f t="shared" ref="V331:V335" si="1243">IF(B331=360,I331,0)</f>
        <v>0</v>
      </c>
      <c r="W331" s="136">
        <f>IF(B331=410,I331,0)</f>
        <v>0</v>
      </c>
      <c r="X331" s="130">
        <f t="shared" si="1227"/>
        <v>0</v>
      </c>
      <c r="Z331" s="92"/>
      <c r="AA331" s="92"/>
      <c r="AB331" s="92"/>
      <c r="AD331" s="92"/>
      <c r="AE331" s="92"/>
      <c r="AF331" s="92"/>
      <c r="AH331" s="92"/>
      <c r="AI331" s="92"/>
      <c r="AJ331" s="92"/>
      <c r="AL331" s="92"/>
      <c r="AM331" s="92"/>
      <c r="AN331" s="92"/>
      <c r="AO331" s="165"/>
    </row>
    <row r="332" spans="1:41" s="221" customFormat="1" x14ac:dyDescent="0.25">
      <c r="A332" s="100"/>
      <c r="B332" s="99">
        <f>'Expense Input'!B97</f>
        <v>100</v>
      </c>
      <c r="C332" s="99">
        <f>'Expense Input'!C97</f>
        <v>4000</v>
      </c>
      <c r="D332" s="99">
        <f>'Expense Input'!D97</f>
        <v>7500</v>
      </c>
      <c r="E332" s="99">
        <f>'Expense Input'!E97</f>
        <v>310</v>
      </c>
      <c r="F332" s="99" t="str">
        <f>'Expense Input'!F97</f>
        <v>Contract Controller Service</v>
      </c>
      <c r="G332" s="140">
        <f>'Expense Input'!Q97</f>
        <v>91408.511874999997</v>
      </c>
      <c r="H332" s="140">
        <f>'Expense Input'!R97</f>
        <v>53659.359375</v>
      </c>
      <c r="I332" s="140">
        <f>'Expense Input'!S97</f>
        <v>37749.152500000004</v>
      </c>
      <c r="J332" s="110" t="str">
        <f t="shared" ref="J332" si="1244">IF(G332&gt;0.49,"*","")</f>
        <v>*</v>
      </c>
      <c r="L332" s="103">
        <f t="shared" si="1150"/>
        <v>0</v>
      </c>
      <c r="M332" s="103">
        <f>IF(E332&gt;299,G332,0)</f>
        <v>91408.511874999997</v>
      </c>
      <c r="N332" s="215"/>
      <c r="O332" s="154"/>
      <c r="P332" s="154">
        <f>IF(B332=490,G332,0)</f>
        <v>0</v>
      </c>
      <c r="Q332" s="154">
        <f>IF(B332=410,H332,0)</f>
        <v>0</v>
      </c>
      <c r="R332" s="154">
        <f t="shared" si="1241"/>
        <v>0</v>
      </c>
      <c r="S332" s="154">
        <f t="shared" si="1242"/>
        <v>0</v>
      </c>
      <c r="T332" s="136">
        <f t="shared" si="989"/>
        <v>0</v>
      </c>
      <c r="U332" s="136">
        <f t="shared" si="989"/>
        <v>0</v>
      </c>
      <c r="V332" s="154">
        <f t="shared" si="1243"/>
        <v>0</v>
      </c>
      <c r="W332" s="154">
        <f>IF(B332=410,I332,0)</f>
        <v>0</v>
      </c>
      <c r="X332" s="215">
        <f t="shared" si="1227"/>
        <v>0</v>
      </c>
      <c r="Z332" s="140">
        <f t="shared" ref="Z332:Z333" si="1245">AA332+AB332</f>
        <v>108900.09375</v>
      </c>
      <c r="AA332" s="140">
        <f>(AA$13-AA$15)*2.4%</f>
        <v>56552.298750000002</v>
      </c>
      <c r="AB332" s="140">
        <f>(AB$13-AB$15)*2.4%</f>
        <v>52347.794999999998</v>
      </c>
      <c r="AD332" s="140">
        <f t="shared" ref="AD332:AD333" si="1246">AE332+AF332</f>
        <v>109989.09468749999</v>
      </c>
      <c r="AE332" s="140">
        <f>(AE$13-AE$15)*2.4%</f>
        <v>57117.821737499995</v>
      </c>
      <c r="AF332" s="140">
        <f>(AF$13-AF$15)*2.4%</f>
        <v>52871.272949999999</v>
      </c>
      <c r="AH332" s="140">
        <f t="shared" ref="AH332:AH333" si="1247">AI332+AJ332</f>
        <v>114977.1001315781</v>
      </c>
      <c r="AI332" s="140">
        <f>(AI$13-AI$15)*2.3%</f>
        <v>59708.114953295611</v>
      </c>
      <c r="AJ332" s="140">
        <f>(AJ$13-AJ$15)*2.3%</f>
        <v>55268.985178282499</v>
      </c>
      <c r="AL332" s="140">
        <f t="shared" ref="AL332:AL333" si="1248">AM332+AN332</f>
        <v>116126.8711328939</v>
      </c>
      <c r="AM332" s="140">
        <f>(AM$13-AM$15)*2.3%</f>
        <v>60305.196102828566</v>
      </c>
      <c r="AN332" s="140">
        <f>(AN$13-AN$15)*2.3%</f>
        <v>55821.675030065337</v>
      </c>
      <c r="AO332" s="165" t="s">
        <v>79</v>
      </c>
    </row>
    <row r="333" spans="1:41" s="221" customFormat="1" x14ac:dyDescent="0.25">
      <c r="A333" s="100"/>
      <c r="B333" s="99">
        <f>'Expense Input'!B98</f>
        <v>100</v>
      </c>
      <c r="C333" s="99">
        <f>'Expense Input'!C98</f>
        <v>4000</v>
      </c>
      <c r="D333" s="99">
        <f>'Expense Input'!D98</f>
        <v>7500</v>
      </c>
      <c r="E333" s="99">
        <f>'Expense Input'!E98</f>
        <v>311</v>
      </c>
      <c r="F333" s="99" t="str">
        <f>'Expense Input'!F98</f>
        <v>Payroll Service</v>
      </c>
      <c r="G333" s="140">
        <f>'Expense Input'!Q98</f>
        <v>31523.164205380046</v>
      </c>
      <c r="H333" s="140">
        <f>'Expense Input'!R98</f>
        <v>19495.761935098155</v>
      </c>
      <c r="I333" s="140">
        <f>'Expense Input'!S98</f>
        <v>12027.402270281891</v>
      </c>
      <c r="J333" s="110" t="str">
        <f t="shared" si="901"/>
        <v>*</v>
      </c>
      <c r="L333" s="103">
        <f t="shared" si="1150"/>
        <v>0</v>
      </c>
      <c r="M333" s="103">
        <f>IF(E333&gt;299,G333,0)</f>
        <v>31523.164205380046</v>
      </c>
      <c r="N333" s="215"/>
      <c r="O333" s="154"/>
      <c r="P333" s="154">
        <f>IF(B333=490,G333,0)</f>
        <v>0</v>
      </c>
      <c r="Q333" s="154">
        <f>IF(B333=410,H333,0)</f>
        <v>0</v>
      </c>
      <c r="R333" s="154">
        <f t="shared" si="1241"/>
        <v>0</v>
      </c>
      <c r="S333" s="154">
        <f t="shared" si="1242"/>
        <v>0</v>
      </c>
      <c r="T333" s="136">
        <f t="shared" si="989"/>
        <v>0</v>
      </c>
      <c r="U333" s="136">
        <f t="shared" si="989"/>
        <v>0</v>
      </c>
      <c r="V333" s="154">
        <f t="shared" si="1243"/>
        <v>0</v>
      </c>
      <c r="W333" s="154">
        <f>IF(B333=410,I333,0)</f>
        <v>0</v>
      </c>
      <c r="X333" s="215">
        <f t="shared" si="1227"/>
        <v>0</v>
      </c>
      <c r="Z333" s="140" t="e">
        <f t="shared" si="1245"/>
        <v>#REF!</v>
      </c>
      <c r="AA333" s="140" t="e">
        <f>AA$461</f>
        <v>#REF!</v>
      </c>
      <c r="AB333" s="140" t="e">
        <f>AB$461</f>
        <v>#REF!</v>
      </c>
      <c r="AD333" s="140" t="e">
        <f t="shared" si="1246"/>
        <v>#REF!</v>
      </c>
      <c r="AE333" s="140" t="e">
        <f>AE$461</f>
        <v>#REF!</v>
      </c>
      <c r="AF333" s="140" t="e">
        <f>AF$461</f>
        <v>#REF!</v>
      </c>
      <c r="AH333" s="140" t="e">
        <f t="shared" si="1247"/>
        <v>#REF!</v>
      </c>
      <c r="AI333" s="140" t="e">
        <f>AI$461</f>
        <v>#REF!</v>
      </c>
      <c r="AJ333" s="140" t="e">
        <f>AJ$461</f>
        <v>#REF!</v>
      </c>
      <c r="AL333" s="140" t="e">
        <f t="shared" si="1248"/>
        <v>#REF!</v>
      </c>
      <c r="AM333" s="140" t="e">
        <f>AM$461</f>
        <v>#REF!</v>
      </c>
      <c r="AN333" s="140" t="e">
        <f>AN$461</f>
        <v>#REF!</v>
      </c>
      <c r="AO333" s="165" t="s">
        <v>80</v>
      </c>
    </row>
    <row r="334" spans="1:41" s="1" customFormat="1" ht="13.2" hidden="1" customHeight="1" x14ac:dyDescent="0.25">
      <c r="A334" s="131"/>
      <c r="B334" s="134"/>
      <c r="C334" s="134"/>
      <c r="D334" s="134"/>
      <c r="E334" s="134"/>
      <c r="F334" s="134"/>
      <c r="G334" s="136"/>
      <c r="H334" s="136"/>
      <c r="I334" s="136"/>
      <c r="J334" s="129" t="str">
        <f t="shared" si="901"/>
        <v/>
      </c>
      <c r="K334" s="129"/>
      <c r="L334" s="132">
        <f t="shared" si="1150"/>
        <v>0</v>
      </c>
      <c r="M334" s="132">
        <f>IF(E334&gt;299,G334,0)</f>
        <v>0</v>
      </c>
      <c r="N334" s="130"/>
      <c r="O334" s="136"/>
      <c r="P334" s="136">
        <f>IF(B334=490,G334,0)</f>
        <v>0</v>
      </c>
      <c r="Q334" s="136">
        <f>IF(B334=410,H334,0)</f>
        <v>0</v>
      </c>
      <c r="R334" s="136">
        <f t="shared" si="1241"/>
        <v>0</v>
      </c>
      <c r="S334" s="136">
        <f t="shared" si="1242"/>
        <v>0</v>
      </c>
      <c r="T334" s="136">
        <f t="shared" si="989"/>
        <v>0</v>
      </c>
      <c r="U334" s="136">
        <f t="shared" si="989"/>
        <v>0</v>
      </c>
      <c r="V334" s="136">
        <f t="shared" si="1243"/>
        <v>0</v>
      </c>
      <c r="W334" s="136">
        <f>IF(B334=410,I334,0)</f>
        <v>0</v>
      </c>
      <c r="X334" s="130">
        <f t="shared" si="1227"/>
        <v>0</v>
      </c>
      <c r="Y334" s="129"/>
      <c r="Z334" s="136"/>
      <c r="AA334" s="136"/>
      <c r="AB334" s="136"/>
      <c r="AC334" s="129"/>
      <c r="AD334" s="136"/>
      <c r="AE334" s="136"/>
      <c r="AF334" s="136"/>
      <c r="AG334" s="129"/>
      <c r="AH334" s="136"/>
      <c r="AI334" s="136"/>
      <c r="AJ334" s="136"/>
      <c r="AK334" s="129"/>
      <c r="AL334" s="136"/>
      <c r="AM334" s="136"/>
      <c r="AN334" s="136"/>
      <c r="AO334" s="165"/>
    </row>
    <row r="335" spans="1:41" x14ac:dyDescent="0.25">
      <c r="A335" s="131"/>
      <c r="B335" s="77"/>
      <c r="C335" s="77"/>
      <c r="D335" s="77"/>
      <c r="E335" s="77"/>
      <c r="G335" s="65"/>
      <c r="H335" s="65"/>
      <c r="I335" s="65"/>
      <c r="J335" s="129" t="str">
        <f>IF(J336="*","*","")</f>
        <v>*</v>
      </c>
      <c r="L335" s="132">
        <f t="shared" si="1150"/>
        <v>0</v>
      </c>
      <c r="M335" s="132">
        <f>IF(E335&gt;299,G335,0)</f>
        <v>0</v>
      </c>
      <c r="N335" s="130"/>
      <c r="O335" s="136"/>
      <c r="P335" s="136">
        <f>IF(B335=432,G335,0)</f>
        <v>0</v>
      </c>
      <c r="Q335" s="136">
        <f>IF(B335=410,H335,0)</f>
        <v>0</v>
      </c>
      <c r="R335" s="136">
        <f t="shared" si="1241"/>
        <v>0</v>
      </c>
      <c r="S335" s="136">
        <f t="shared" si="1242"/>
        <v>0</v>
      </c>
      <c r="T335" s="136">
        <f t="shared" si="989"/>
        <v>0</v>
      </c>
      <c r="U335" s="136">
        <f t="shared" si="989"/>
        <v>0</v>
      </c>
      <c r="V335" s="136">
        <f t="shared" si="1243"/>
        <v>0</v>
      </c>
      <c r="W335" s="136">
        <f>IF(B335=410,I335,0)</f>
        <v>0</v>
      </c>
      <c r="X335" s="130">
        <f t="shared" si="1227"/>
        <v>0</v>
      </c>
      <c r="Z335" s="65"/>
      <c r="AA335" s="65"/>
      <c r="AB335" s="65"/>
      <c r="AD335" s="65"/>
      <c r="AE335" s="65"/>
      <c r="AF335" s="65"/>
      <c r="AH335" s="65"/>
      <c r="AI335" s="65"/>
      <c r="AJ335" s="65"/>
      <c r="AL335" s="65"/>
      <c r="AM335" s="65"/>
      <c r="AN335" s="65"/>
      <c r="AO335" s="165"/>
    </row>
    <row r="336" spans="1:41" x14ac:dyDescent="0.25">
      <c r="A336" s="131"/>
      <c r="F336" s="85" t="s">
        <v>81</v>
      </c>
      <c r="G336" s="86">
        <f>SUM(G332:G335)</f>
        <v>122931.67608038004</v>
      </c>
      <c r="H336" s="86">
        <f t="shared" ref="H336:I336" si="1249">SUM(H332:H335)</f>
        <v>73155.121310098155</v>
      </c>
      <c r="I336" s="86">
        <f t="shared" si="1249"/>
        <v>49776.554770281895</v>
      </c>
      <c r="J336" s="129" t="str">
        <f>IF(G336&gt;0.49,"*","")</f>
        <v>*</v>
      </c>
      <c r="L336" s="133">
        <f>SUM(L331:L335)</f>
        <v>0</v>
      </c>
      <c r="M336" s="133">
        <f>SUM(M331:M335)</f>
        <v>122931.67608038004</v>
      </c>
      <c r="N336" s="130"/>
      <c r="O336" s="133"/>
      <c r="P336" s="133">
        <f t="shared" ref="P336:X336" si="1250">SUM(P332:P335)</f>
        <v>0</v>
      </c>
      <c r="Q336" s="133">
        <f t="shared" si="1250"/>
        <v>0</v>
      </c>
      <c r="R336" s="133">
        <f t="shared" ref="R336" si="1251">SUM(R332:R335)</f>
        <v>0</v>
      </c>
      <c r="S336" s="133">
        <f t="shared" ref="S336:V336" si="1252">SUM(S332:S335)</f>
        <v>0</v>
      </c>
      <c r="T336" s="133">
        <f t="shared" si="1252"/>
        <v>0</v>
      </c>
      <c r="U336" s="133">
        <f t="shared" si="1252"/>
        <v>0</v>
      </c>
      <c r="V336" s="133">
        <f t="shared" si="1252"/>
        <v>0</v>
      </c>
      <c r="W336" s="133">
        <f t="shared" si="1250"/>
        <v>0</v>
      </c>
      <c r="X336" s="133">
        <f t="shared" si="1250"/>
        <v>0</v>
      </c>
      <c r="Z336" s="86" t="e">
        <f>SUM(Z332:Z335)</f>
        <v>#REF!</v>
      </c>
      <c r="AA336" s="86" t="e">
        <f t="shared" ref="AA336:AB336" si="1253">SUM(AA332:AA335)</f>
        <v>#REF!</v>
      </c>
      <c r="AB336" s="86" t="e">
        <f t="shared" si="1253"/>
        <v>#REF!</v>
      </c>
      <c r="AD336" s="86" t="e">
        <f>SUM(AD332:AD335)</f>
        <v>#REF!</v>
      </c>
      <c r="AE336" s="86" t="e">
        <f t="shared" ref="AE336:AF336" si="1254">SUM(AE332:AE335)</f>
        <v>#REF!</v>
      </c>
      <c r="AF336" s="86" t="e">
        <f t="shared" si="1254"/>
        <v>#REF!</v>
      </c>
      <c r="AH336" s="86" t="e">
        <f>SUM(AH332:AH335)</f>
        <v>#REF!</v>
      </c>
      <c r="AI336" s="86" t="e">
        <f t="shared" ref="AI336:AJ336" si="1255">SUM(AI332:AI335)</f>
        <v>#REF!</v>
      </c>
      <c r="AJ336" s="86" t="e">
        <f t="shared" si="1255"/>
        <v>#REF!</v>
      </c>
      <c r="AL336" s="86" t="e">
        <f>SUM(AL332:AL335)</f>
        <v>#REF!</v>
      </c>
      <c r="AM336" s="86" t="e">
        <f t="shared" ref="AM336:AN336" si="1256">SUM(AM332:AM335)</f>
        <v>#REF!</v>
      </c>
      <c r="AN336" s="86" t="e">
        <f t="shared" si="1256"/>
        <v>#REF!</v>
      </c>
      <c r="AO336" s="165"/>
    </row>
    <row r="337" spans="1:41" x14ac:dyDescent="0.25">
      <c r="A337" s="131"/>
      <c r="F337" s="85"/>
      <c r="J337" s="129" t="str">
        <f>IF(J336="*","*","")</f>
        <v>*</v>
      </c>
      <c r="L337" s="132">
        <f t="shared" si="1150"/>
        <v>0</v>
      </c>
      <c r="M337" s="132">
        <f t="shared" ref="M337:M365" si="1257">IF(E337&gt;299,G337,0)</f>
        <v>0</v>
      </c>
      <c r="N337" s="130"/>
      <c r="O337" s="136"/>
      <c r="P337" s="136">
        <f>IF(B337=432,G337,0)</f>
        <v>0</v>
      </c>
      <c r="Q337" s="136">
        <f t="shared" ref="Q337:Q352" si="1258">IF(B337=410,H337,0)</f>
        <v>0</v>
      </c>
      <c r="R337" s="136">
        <f t="shared" ref="R337:R365" si="1259">IF(B337=432,H337,0)</f>
        <v>0</v>
      </c>
      <c r="S337" s="136">
        <f t="shared" ref="S337:S365" si="1260">IF(B337=432,I337,0)</f>
        <v>0</v>
      </c>
      <c r="T337" s="136">
        <f t="shared" si="989"/>
        <v>0</v>
      </c>
      <c r="U337" s="136">
        <f t="shared" si="989"/>
        <v>0</v>
      </c>
      <c r="V337" s="136">
        <f t="shared" ref="V337:V365" si="1261">IF(B337=360,I337,0)</f>
        <v>0</v>
      </c>
      <c r="W337" s="136">
        <f t="shared" ref="W337:W365" si="1262">IF(B337=410,I337,0)</f>
        <v>0</v>
      </c>
      <c r="X337" s="130">
        <f t="shared" si="1227"/>
        <v>0</v>
      </c>
      <c r="AO337" s="165"/>
    </row>
    <row r="338" spans="1:41" x14ac:dyDescent="0.25">
      <c r="A338" s="131"/>
      <c r="B338" s="63">
        <v>410</v>
      </c>
      <c r="C338" s="63">
        <v>4000</v>
      </c>
      <c r="D338" s="63">
        <v>7600</v>
      </c>
      <c r="E338" s="63">
        <v>160</v>
      </c>
      <c r="F338" s="63" t="s">
        <v>82</v>
      </c>
      <c r="G338" s="64">
        <f>+'Payroll Input'!$H$144</f>
        <v>127380</v>
      </c>
      <c r="H338" s="64">
        <v>0</v>
      </c>
      <c r="I338" s="64">
        <f>+SUM('Payroll Input'!H137:H142)</f>
        <v>127380</v>
      </c>
      <c r="J338" s="129" t="str">
        <f t="shared" si="901"/>
        <v>*</v>
      </c>
      <c r="L338" s="132">
        <f t="shared" si="1150"/>
        <v>127380</v>
      </c>
      <c r="M338" s="132">
        <f t="shared" si="1257"/>
        <v>0</v>
      </c>
      <c r="N338" s="130"/>
      <c r="O338" s="136"/>
      <c r="P338" s="136">
        <f t="shared" ref="P338:P350" si="1263">IF(B338=490,G338,0)</f>
        <v>0</v>
      </c>
      <c r="Q338" s="136">
        <f t="shared" si="1258"/>
        <v>0</v>
      </c>
      <c r="R338" s="136">
        <f t="shared" si="1259"/>
        <v>0</v>
      </c>
      <c r="S338" s="136">
        <f t="shared" si="1260"/>
        <v>0</v>
      </c>
      <c r="T338" s="136">
        <f t="shared" si="989"/>
        <v>0</v>
      </c>
      <c r="U338" s="136">
        <f t="shared" si="989"/>
        <v>0</v>
      </c>
      <c r="V338" s="136">
        <f t="shared" si="1261"/>
        <v>0</v>
      </c>
      <c r="W338" s="136">
        <f t="shared" si="1262"/>
        <v>127380</v>
      </c>
      <c r="X338" s="130">
        <f t="shared" si="1227"/>
        <v>127380</v>
      </c>
      <c r="Z338" s="88">
        <f>AA338+AB338</f>
        <v>127380</v>
      </c>
      <c r="AA338" s="132">
        <f>+H338*Inf</f>
        <v>0</v>
      </c>
      <c r="AB338" s="132">
        <f>+I338</f>
        <v>127380</v>
      </c>
      <c r="AD338" s="88">
        <f t="shared" ref="AD338:AD343" si="1264">AE338+AF338</f>
        <v>128653.8</v>
      </c>
      <c r="AE338" s="132">
        <f>AA338*Inf</f>
        <v>0</v>
      </c>
      <c r="AF338" s="132">
        <f>AB338*Inf</f>
        <v>128653.8</v>
      </c>
      <c r="AH338" s="88">
        <f t="shared" ref="AH338:AH343" si="1265">AI338+AJ338</f>
        <v>129940.338</v>
      </c>
      <c r="AI338" s="132">
        <f>AE338*Inf</f>
        <v>0</v>
      </c>
      <c r="AJ338" s="132">
        <f>AF338*Inf</f>
        <v>129940.338</v>
      </c>
      <c r="AL338" s="88">
        <f t="shared" ref="AL338:AL343" si="1266">AM338+AN338</f>
        <v>131239.74137999999</v>
      </c>
      <c r="AM338" s="132">
        <f>AI338*Inf</f>
        <v>0</v>
      </c>
      <c r="AN338" s="132">
        <f>AJ338*Inf</f>
        <v>131239.74137999999</v>
      </c>
      <c r="AO338" s="165" t="s">
        <v>35</v>
      </c>
    </row>
    <row r="339" spans="1:41" s="1" customFormat="1" x14ac:dyDescent="0.25">
      <c r="A339" s="131"/>
      <c r="B339" s="134">
        <v>410</v>
      </c>
      <c r="C339" s="134">
        <v>4000</v>
      </c>
      <c r="D339" s="134">
        <v>7600</v>
      </c>
      <c r="E339" s="134">
        <v>210</v>
      </c>
      <c r="F339" s="134" t="s">
        <v>45</v>
      </c>
      <c r="G339" s="136">
        <f>+'Payroll Input'!$I$144</f>
        <v>15170.957999999999</v>
      </c>
      <c r="H339" s="64">
        <v>0</v>
      </c>
      <c r="I339" s="136">
        <f>+SUM('Payroll Input'!I137:I142)</f>
        <v>15170.957999999999</v>
      </c>
      <c r="J339" s="129" t="str">
        <f t="shared" si="901"/>
        <v>*</v>
      </c>
      <c r="K339" s="129"/>
      <c r="L339" s="132">
        <f t="shared" si="1150"/>
        <v>15170.957999999999</v>
      </c>
      <c r="M339" s="132">
        <f t="shared" si="1257"/>
        <v>0</v>
      </c>
      <c r="N339" s="130"/>
      <c r="O339" s="136"/>
      <c r="P339" s="136">
        <f t="shared" si="1263"/>
        <v>0</v>
      </c>
      <c r="Q339" s="136">
        <f t="shared" si="1258"/>
        <v>0</v>
      </c>
      <c r="R339" s="136">
        <f t="shared" si="1259"/>
        <v>0</v>
      </c>
      <c r="S339" s="136">
        <f t="shared" si="1260"/>
        <v>0</v>
      </c>
      <c r="T339" s="136">
        <f t="shared" si="989"/>
        <v>0</v>
      </c>
      <c r="U339" s="136">
        <f t="shared" si="989"/>
        <v>0</v>
      </c>
      <c r="V339" s="136">
        <f t="shared" si="1261"/>
        <v>0</v>
      </c>
      <c r="W339" s="136">
        <f t="shared" si="1262"/>
        <v>15170.957999999999</v>
      </c>
      <c r="X339" s="130">
        <f t="shared" si="1227"/>
        <v>15170.957999999999</v>
      </c>
      <c r="Y339" s="129"/>
      <c r="Z339" s="88">
        <f t="shared" ref="Z339:Z343" si="1267">AA339+AB339</f>
        <v>12738</v>
      </c>
      <c r="AA339" s="132">
        <f>SUM(AA$338)*10%</f>
        <v>0</v>
      </c>
      <c r="AB339" s="132">
        <f>SUM(AB$338)*10%</f>
        <v>12738</v>
      </c>
      <c r="AC339" s="129"/>
      <c r="AD339" s="88">
        <f t="shared" si="1264"/>
        <v>12865.380000000001</v>
      </c>
      <c r="AE339" s="132">
        <f>SUM(AE$338)*10%</f>
        <v>0</v>
      </c>
      <c r="AF339" s="132">
        <f>SUM(AF$338)*10%</f>
        <v>12865.380000000001</v>
      </c>
      <c r="AG339" s="129"/>
      <c r="AH339" s="88">
        <f t="shared" si="1265"/>
        <v>12994.033800000001</v>
      </c>
      <c r="AI339" s="132">
        <f>SUM(AI$338)*10%</f>
        <v>0</v>
      </c>
      <c r="AJ339" s="132">
        <f>SUM(AJ$338)*10%</f>
        <v>12994.033800000001</v>
      </c>
      <c r="AK339" s="129"/>
      <c r="AL339" s="88">
        <f t="shared" si="1266"/>
        <v>13123.974138</v>
      </c>
      <c r="AM339" s="132">
        <f>SUM(AM$338)*10%</f>
        <v>0</v>
      </c>
      <c r="AN339" s="132">
        <f>SUM(AN$338)*10%</f>
        <v>13123.974138</v>
      </c>
      <c r="AO339" s="165" t="s">
        <v>56</v>
      </c>
    </row>
    <row r="340" spans="1:41" x14ac:dyDescent="0.25">
      <c r="A340" s="131"/>
      <c r="B340" s="63">
        <v>410</v>
      </c>
      <c r="C340" s="63">
        <v>4000</v>
      </c>
      <c r="D340" s="63">
        <v>7600</v>
      </c>
      <c r="E340" s="63">
        <v>220</v>
      </c>
      <c r="F340" s="63" t="s">
        <v>47</v>
      </c>
      <c r="G340" s="64">
        <f>+'Payroll Input'!$K$144</f>
        <v>9744.57</v>
      </c>
      <c r="H340" s="64">
        <v>0</v>
      </c>
      <c r="I340" s="64">
        <f>+SUM('Payroll Input'!K137:K142)</f>
        <v>9744.57</v>
      </c>
      <c r="J340" s="129" t="str">
        <f t="shared" si="901"/>
        <v>*</v>
      </c>
      <c r="L340" s="132">
        <f t="shared" si="1150"/>
        <v>9744.57</v>
      </c>
      <c r="M340" s="132">
        <f t="shared" si="1257"/>
        <v>0</v>
      </c>
      <c r="N340" s="130"/>
      <c r="O340" s="136"/>
      <c r="P340" s="136">
        <f t="shared" si="1263"/>
        <v>0</v>
      </c>
      <c r="Q340" s="136">
        <f t="shared" si="1258"/>
        <v>0</v>
      </c>
      <c r="R340" s="136">
        <f t="shared" si="1259"/>
        <v>0</v>
      </c>
      <c r="S340" s="136">
        <f t="shared" si="1260"/>
        <v>0</v>
      </c>
      <c r="T340" s="136">
        <f t="shared" si="989"/>
        <v>0</v>
      </c>
      <c r="U340" s="136">
        <f t="shared" si="989"/>
        <v>0</v>
      </c>
      <c r="V340" s="136">
        <f t="shared" si="1261"/>
        <v>0</v>
      </c>
      <c r="W340" s="136">
        <f t="shared" si="1262"/>
        <v>9744.57</v>
      </c>
      <c r="X340" s="130">
        <f t="shared" si="1227"/>
        <v>9744.57</v>
      </c>
      <c r="Z340" s="88">
        <f t="shared" si="1267"/>
        <v>9744.57</v>
      </c>
      <c r="AA340" s="132">
        <f>SUM(AA$338)*7.65%</f>
        <v>0</v>
      </c>
      <c r="AB340" s="132">
        <f>SUM(AB$338)*7.65%</f>
        <v>9744.57</v>
      </c>
      <c r="AD340" s="88">
        <f t="shared" si="1264"/>
        <v>9842.0156999999999</v>
      </c>
      <c r="AE340" s="132">
        <f>SUM(AE$338)*7.65%</f>
        <v>0</v>
      </c>
      <c r="AF340" s="132">
        <f>SUM(AF$338)*7.65%</f>
        <v>9842.0156999999999</v>
      </c>
      <c r="AH340" s="88">
        <f t="shared" si="1265"/>
        <v>9940.4358570000004</v>
      </c>
      <c r="AI340" s="132">
        <f>SUM(AI$338)*7.65%</f>
        <v>0</v>
      </c>
      <c r="AJ340" s="132">
        <f>SUM(AJ$338)*7.65%</f>
        <v>9940.4358570000004</v>
      </c>
      <c r="AL340" s="88">
        <f t="shared" si="1266"/>
        <v>10039.840215569999</v>
      </c>
      <c r="AM340" s="132">
        <f>SUM(AM$338)*7.65%</f>
        <v>0</v>
      </c>
      <c r="AN340" s="132">
        <f>SUM(AN$338)*7.65%</f>
        <v>10039.840215569999</v>
      </c>
      <c r="AO340" s="165" t="s">
        <v>57</v>
      </c>
    </row>
    <row r="341" spans="1:41" x14ac:dyDescent="0.25">
      <c r="A341" s="131"/>
      <c r="B341" s="63">
        <v>410</v>
      </c>
      <c r="C341" s="63">
        <v>4000</v>
      </c>
      <c r="D341" s="63">
        <v>7600</v>
      </c>
      <c r="E341" s="63">
        <v>230</v>
      </c>
      <c r="F341" s="63" t="s">
        <v>49</v>
      </c>
      <c r="G341" s="64">
        <f>+'Payroll Input'!$L$144</f>
        <v>7248</v>
      </c>
      <c r="H341" s="64">
        <v>0</v>
      </c>
      <c r="I341" s="64">
        <f>+SUM('Payroll Input'!L137:L142)</f>
        <v>7248</v>
      </c>
      <c r="J341" s="129" t="str">
        <f t="shared" si="901"/>
        <v>*</v>
      </c>
      <c r="L341" s="132">
        <f t="shared" si="1150"/>
        <v>7248</v>
      </c>
      <c r="M341" s="132">
        <f t="shared" si="1257"/>
        <v>0</v>
      </c>
      <c r="N341" s="130"/>
      <c r="O341" s="136"/>
      <c r="P341" s="136">
        <f t="shared" si="1263"/>
        <v>0</v>
      </c>
      <c r="Q341" s="136">
        <f t="shared" si="1258"/>
        <v>0</v>
      </c>
      <c r="R341" s="136">
        <f t="shared" si="1259"/>
        <v>0</v>
      </c>
      <c r="S341" s="136">
        <f t="shared" si="1260"/>
        <v>0</v>
      </c>
      <c r="T341" s="136">
        <f t="shared" si="989"/>
        <v>0</v>
      </c>
      <c r="U341" s="136">
        <f t="shared" si="989"/>
        <v>0</v>
      </c>
      <c r="V341" s="136">
        <f t="shared" si="1261"/>
        <v>0</v>
      </c>
      <c r="W341" s="136">
        <f t="shared" si="1262"/>
        <v>7248</v>
      </c>
      <c r="X341" s="130">
        <f t="shared" si="1227"/>
        <v>7248</v>
      </c>
      <c r="Z341" s="88">
        <f t="shared" si="1267"/>
        <v>7248</v>
      </c>
      <c r="AA341" s="132">
        <v>0</v>
      </c>
      <c r="AB341" s="132">
        <f>I341/SUM(I$338)*SUM(AB$338)</f>
        <v>7248</v>
      </c>
      <c r="AD341" s="88">
        <f t="shared" si="1264"/>
        <v>7320.4800000000005</v>
      </c>
      <c r="AE341" s="132">
        <v>0</v>
      </c>
      <c r="AF341" s="132">
        <f>AB341/SUM(AB$338)*SUM(AF$338)</f>
        <v>7320.4800000000005</v>
      </c>
      <c r="AH341" s="88">
        <f t="shared" si="1265"/>
        <v>7393.6848</v>
      </c>
      <c r="AI341" s="132">
        <v>0</v>
      </c>
      <c r="AJ341" s="132">
        <f>AF341/SUM(AF$338)*SUM(AJ$338)</f>
        <v>7393.6848</v>
      </c>
      <c r="AL341" s="88">
        <f t="shared" si="1266"/>
        <v>7467.6216479999994</v>
      </c>
      <c r="AM341" s="132">
        <v>0</v>
      </c>
      <c r="AN341" s="132">
        <f>AJ341/SUM(AJ$338)*SUM(AN$338)</f>
        <v>7467.6216479999994</v>
      </c>
      <c r="AO341" s="165" t="s">
        <v>50</v>
      </c>
    </row>
    <row r="342" spans="1:41" x14ac:dyDescent="0.25">
      <c r="A342" s="131"/>
      <c r="B342" s="63">
        <v>410</v>
      </c>
      <c r="C342" s="63">
        <v>4000</v>
      </c>
      <c r="D342" s="63">
        <v>7600</v>
      </c>
      <c r="E342" s="63">
        <v>240</v>
      </c>
      <c r="F342" s="63" t="s">
        <v>51</v>
      </c>
      <c r="G342" s="64">
        <f>+'Payroll Input'!$N$144</f>
        <v>547.73400000000004</v>
      </c>
      <c r="H342" s="64">
        <v>0</v>
      </c>
      <c r="I342" s="64">
        <f>+SUM('Payroll Input'!N137:N142)</f>
        <v>547.73400000000004</v>
      </c>
      <c r="J342" s="129" t="str">
        <f t="shared" si="901"/>
        <v>*</v>
      </c>
      <c r="L342" s="132">
        <f t="shared" si="1150"/>
        <v>547.73400000000004</v>
      </c>
      <c r="M342" s="132">
        <f t="shared" si="1257"/>
        <v>0</v>
      </c>
      <c r="N342" s="130"/>
      <c r="O342" s="136"/>
      <c r="P342" s="136">
        <f t="shared" si="1263"/>
        <v>0</v>
      </c>
      <c r="Q342" s="136">
        <f t="shared" si="1258"/>
        <v>0</v>
      </c>
      <c r="R342" s="136">
        <f t="shared" si="1259"/>
        <v>0</v>
      </c>
      <c r="S342" s="136">
        <f t="shared" si="1260"/>
        <v>0</v>
      </c>
      <c r="T342" s="136">
        <f t="shared" si="989"/>
        <v>0</v>
      </c>
      <c r="U342" s="136">
        <f t="shared" si="989"/>
        <v>0</v>
      </c>
      <c r="V342" s="136">
        <f t="shared" si="1261"/>
        <v>0</v>
      </c>
      <c r="W342" s="136">
        <f t="shared" si="1262"/>
        <v>547.73400000000004</v>
      </c>
      <c r="X342" s="130">
        <f t="shared" si="1227"/>
        <v>547.73400000000004</v>
      </c>
      <c r="Z342" s="88">
        <f t="shared" si="1267"/>
        <v>547.73400000000004</v>
      </c>
      <c r="AA342" s="132">
        <v>0</v>
      </c>
      <c r="AB342" s="132">
        <f>I342/SUM(I$338)*SUM(AB$338)</f>
        <v>547.73400000000004</v>
      </c>
      <c r="AD342" s="88">
        <f t="shared" si="1264"/>
        <v>553.21134000000006</v>
      </c>
      <c r="AE342" s="132">
        <v>0</v>
      </c>
      <c r="AF342" s="132">
        <f>AB342/SUM(AB$338)*SUM(AF$338)</f>
        <v>553.21134000000006</v>
      </c>
      <c r="AH342" s="88">
        <f t="shared" si="1265"/>
        <v>558.74345340000002</v>
      </c>
      <c r="AI342" s="132">
        <v>0</v>
      </c>
      <c r="AJ342" s="132">
        <f>AF342/SUM(AF$338)*SUM(AJ$338)</f>
        <v>558.74345340000002</v>
      </c>
      <c r="AL342" s="88">
        <f t="shared" si="1266"/>
        <v>564.33088793399997</v>
      </c>
      <c r="AM342" s="132">
        <v>0</v>
      </c>
      <c r="AN342" s="132">
        <f>AJ342/SUM(AJ$338)*SUM(AN$338)</f>
        <v>564.33088793399997</v>
      </c>
      <c r="AO342" s="165" t="s">
        <v>50</v>
      </c>
    </row>
    <row r="343" spans="1:41" x14ac:dyDescent="0.25">
      <c r="A343" s="131"/>
      <c r="B343" s="63">
        <v>410</v>
      </c>
      <c r="C343" s="63">
        <v>4000</v>
      </c>
      <c r="D343" s="63">
        <v>7600</v>
      </c>
      <c r="E343" s="63">
        <v>250</v>
      </c>
      <c r="F343" s="63" t="s">
        <v>52</v>
      </c>
      <c r="G343" s="64">
        <f>+'Payroll Input'!$O$144</f>
        <v>126</v>
      </c>
      <c r="H343" s="64">
        <v>0</v>
      </c>
      <c r="I343" s="64">
        <f>+SUM('Payroll Input'!O137:O142)</f>
        <v>126</v>
      </c>
      <c r="J343" s="129" t="str">
        <f t="shared" si="901"/>
        <v>*</v>
      </c>
      <c r="L343" s="132">
        <f t="shared" si="1150"/>
        <v>126</v>
      </c>
      <c r="M343" s="132">
        <f t="shared" si="1257"/>
        <v>0</v>
      </c>
      <c r="N343" s="130"/>
      <c r="O343" s="136"/>
      <c r="P343" s="136">
        <f t="shared" si="1263"/>
        <v>0</v>
      </c>
      <c r="Q343" s="136">
        <f t="shared" si="1258"/>
        <v>0</v>
      </c>
      <c r="R343" s="136">
        <f t="shared" si="1259"/>
        <v>0</v>
      </c>
      <c r="S343" s="136">
        <f t="shared" si="1260"/>
        <v>0</v>
      </c>
      <c r="T343" s="136">
        <f t="shared" si="989"/>
        <v>0</v>
      </c>
      <c r="U343" s="136">
        <f t="shared" si="989"/>
        <v>0</v>
      </c>
      <c r="V343" s="136">
        <f t="shared" si="1261"/>
        <v>0</v>
      </c>
      <c r="W343" s="136">
        <f t="shared" si="1262"/>
        <v>126</v>
      </c>
      <c r="X343" s="130">
        <f t="shared" si="1227"/>
        <v>126</v>
      </c>
      <c r="Z343" s="88">
        <f t="shared" si="1267"/>
        <v>126</v>
      </c>
      <c r="AA343" s="132">
        <v>0</v>
      </c>
      <c r="AB343" s="132">
        <f>I343/SUM(I$338)*SUM(AB$338)</f>
        <v>126</v>
      </c>
      <c r="AD343" s="88">
        <f t="shared" si="1264"/>
        <v>127.26</v>
      </c>
      <c r="AE343" s="132">
        <v>0</v>
      </c>
      <c r="AF343" s="132">
        <f>AB343/SUM(AB$338)*SUM(AF$338)</f>
        <v>127.26</v>
      </c>
      <c r="AH343" s="88">
        <f t="shared" si="1265"/>
        <v>128.5326</v>
      </c>
      <c r="AI343" s="132">
        <v>0</v>
      </c>
      <c r="AJ343" s="132">
        <f>AF343/SUM(AF$338)*SUM(AJ$338)</f>
        <v>128.5326</v>
      </c>
      <c r="AL343" s="88">
        <f t="shared" si="1266"/>
        <v>129.817926</v>
      </c>
      <c r="AM343" s="132">
        <v>0</v>
      </c>
      <c r="AN343" s="132">
        <f>AJ343/SUM(AJ$338)*SUM(AN$338)</f>
        <v>129.817926</v>
      </c>
      <c r="AO343" s="165" t="s">
        <v>50</v>
      </c>
    </row>
    <row r="344" spans="1:41" ht="13.2" hidden="1" customHeight="1" x14ac:dyDescent="0.25">
      <c r="A344" s="131"/>
      <c r="B344" s="63"/>
      <c r="C344" s="63"/>
      <c r="D344" s="63"/>
      <c r="E344" s="63"/>
      <c r="F344" s="63"/>
      <c r="G344" s="64"/>
      <c r="H344" s="64"/>
      <c r="I344" s="64"/>
      <c r="J344" s="129" t="str">
        <f t="shared" ref="J344" si="1268">IF(G344&gt;0.49,"*","")</f>
        <v/>
      </c>
      <c r="L344" s="132">
        <f t="shared" si="1150"/>
        <v>0</v>
      </c>
      <c r="M344" s="132">
        <f t="shared" si="1257"/>
        <v>0</v>
      </c>
      <c r="N344" s="130"/>
      <c r="O344" s="136"/>
      <c r="P344" s="136">
        <f t="shared" si="1263"/>
        <v>0</v>
      </c>
      <c r="Q344" s="136">
        <f t="shared" si="1258"/>
        <v>0</v>
      </c>
      <c r="R344" s="136">
        <f t="shared" si="1259"/>
        <v>0</v>
      </c>
      <c r="S344" s="136">
        <f t="shared" si="1260"/>
        <v>0</v>
      </c>
      <c r="T344" s="136">
        <f t="shared" si="989"/>
        <v>0</v>
      </c>
      <c r="U344" s="136">
        <f t="shared" si="989"/>
        <v>0</v>
      </c>
      <c r="V344" s="136">
        <f t="shared" si="1261"/>
        <v>0</v>
      </c>
      <c r="W344" s="136">
        <f t="shared" si="1262"/>
        <v>0</v>
      </c>
      <c r="X344" s="130">
        <f t="shared" si="1227"/>
        <v>0</v>
      </c>
      <c r="Z344" s="64"/>
      <c r="AA344" s="64"/>
      <c r="AB344" s="64"/>
      <c r="AD344" s="64"/>
      <c r="AE344" s="64"/>
      <c r="AF344" s="64"/>
      <c r="AH344" s="64"/>
      <c r="AI344" s="64"/>
      <c r="AJ344" s="64"/>
      <c r="AL344" s="64"/>
      <c r="AM344" s="64"/>
      <c r="AN344" s="64"/>
      <c r="AO344" s="165"/>
    </row>
    <row r="345" spans="1:41" ht="13.2" hidden="1" customHeight="1" x14ac:dyDescent="0.25">
      <c r="A345" s="131"/>
      <c r="B345" s="63"/>
      <c r="C345" s="63"/>
      <c r="D345" s="63"/>
      <c r="E345" s="63"/>
      <c r="F345" s="63"/>
      <c r="G345" s="64"/>
      <c r="H345" s="64"/>
      <c r="I345" s="64"/>
      <c r="J345" s="129" t="str">
        <f t="shared" si="901"/>
        <v/>
      </c>
      <c r="L345" s="132">
        <f t="shared" si="1150"/>
        <v>0</v>
      </c>
      <c r="M345" s="132">
        <f t="shared" si="1257"/>
        <v>0</v>
      </c>
      <c r="N345" s="130"/>
      <c r="O345" s="136"/>
      <c r="P345" s="136">
        <f t="shared" si="1263"/>
        <v>0</v>
      </c>
      <c r="Q345" s="136">
        <f t="shared" si="1258"/>
        <v>0</v>
      </c>
      <c r="R345" s="136">
        <f t="shared" si="1259"/>
        <v>0</v>
      </c>
      <c r="S345" s="136">
        <f t="shared" si="1260"/>
        <v>0</v>
      </c>
      <c r="T345" s="136">
        <f t="shared" si="989"/>
        <v>0</v>
      </c>
      <c r="U345" s="136">
        <f t="shared" si="989"/>
        <v>0</v>
      </c>
      <c r="V345" s="136">
        <f t="shared" si="1261"/>
        <v>0</v>
      </c>
      <c r="W345" s="136">
        <f t="shared" si="1262"/>
        <v>0</v>
      </c>
      <c r="X345" s="130">
        <f t="shared" si="1227"/>
        <v>0</v>
      </c>
      <c r="Z345" s="64"/>
      <c r="AA345" s="64"/>
      <c r="AB345" s="64"/>
      <c r="AD345" s="64"/>
      <c r="AE345" s="64"/>
      <c r="AF345" s="64"/>
      <c r="AH345" s="64"/>
      <c r="AI345" s="64"/>
      <c r="AJ345" s="64"/>
      <c r="AL345" s="64"/>
      <c r="AM345" s="64"/>
      <c r="AN345" s="64"/>
      <c r="AO345" s="165"/>
    </row>
    <row r="346" spans="1:41" ht="13.2" hidden="1" customHeight="1" x14ac:dyDescent="0.25">
      <c r="A346" s="131"/>
      <c r="B346" s="63"/>
      <c r="C346" s="63"/>
      <c r="D346" s="63"/>
      <c r="E346" s="63"/>
      <c r="F346" s="63"/>
      <c r="G346" s="64"/>
      <c r="H346" s="64"/>
      <c r="I346" s="64"/>
      <c r="J346" s="129" t="str">
        <f t="shared" si="901"/>
        <v/>
      </c>
      <c r="L346" s="132">
        <f t="shared" si="1150"/>
        <v>0</v>
      </c>
      <c r="M346" s="132">
        <f t="shared" si="1257"/>
        <v>0</v>
      </c>
      <c r="N346" s="130"/>
      <c r="O346" s="136"/>
      <c r="P346" s="136">
        <f t="shared" si="1263"/>
        <v>0</v>
      </c>
      <c r="Q346" s="136">
        <f t="shared" si="1258"/>
        <v>0</v>
      </c>
      <c r="R346" s="136">
        <f t="shared" si="1259"/>
        <v>0</v>
      </c>
      <c r="S346" s="136">
        <f t="shared" si="1260"/>
        <v>0</v>
      </c>
      <c r="T346" s="136">
        <f t="shared" si="989"/>
        <v>0</v>
      </c>
      <c r="U346" s="136">
        <f t="shared" si="989"/>
        <v>0</v>
      </c>
      <c r="V346" s="136">
        <f t="shared" si="1261"/>
        <v>0</v>
      </c>
      <c r="W346" s="136">
        <f t="shared" si="1262"/>
        <v>0</v>
      </c>
      <c r="X346" s="130">
        <f t="shared" si="1227"/>
        <v>0</v>
      </c>
      <c r="Z346" s="64"/>
      <c r="AA346" s="64"/>
      <c r="AB346" s="64"/>
      <c r="AD346" s="64"/>
      <c r="AE346" s="64"/>
      <c r="AF346" s="64"/>
      <c r="AH346" s="64"/>
      <c r="AI346" s="64"/>
      <c r="AJ346" s="64"/>
      <c r="AL346" s="64"/>
      <c r="AM346" s="64"/>
      <c r="AN346" s="64"/>
      <c r="AO346" s="165"/>
    </row>
    <row r="347" spans="1:41" ht="13.2" hidden="1" customHeight="1" x14ac:dyDescent="0.25">
      <c r="A347" s="131"/>
      <c r="B347" s="63">
        <f>'Expense Input'!B99</f>
        <v>410</v>
      </c>
      <c r="C347" s="63">
        <f>'Expense Input'!C99</f>
        <v>4000</v>
      </c>
      <c r="D347" s="63">
        <f>'Expense Input'!D99</f>
        <v>7600</v>
      </c>
      <c r="E347" s="63">
        <f>'Expense Input'!E99</f>
        <v>310</v>
      </c>
      <c r="F347" s="63" t="str">
        <f>'Expense Input'!F99</f>
        <v>Contracted Food Service</v>
      </c>
      <c r="G347" s="64">
        <f>'Expense Input'!Q99</f>
        <v>0</v>
      </c>
      <c r="H347" s="64">
        <f>'Expense Input'!R99</f>
        <v>0</v>
      </c>
      <c r="I347" s="64">
        <f>'Expense Input'!S99</f>
        <v>0</v>
      </c>
      <c r="J347" s="129" t="str">
        <f t="shared" si="901"/>
        <v/>
      </c>
      <c r="L347" s="132">
        <f t="shared" si="1150"/>
        <v>0</v>
      </c>
      <c r="M347" s="132">
        <f t="shared" si="1257"/>
        <v>0</v>
      </c>
      <c r="N347" s="130"/>
      <c r="O347" s="136"/>
      <c r="P347" s="136">
        <f t="shared" si="1263"/>
        <v>0</v>
      </c>
      <c r="Q347" s="136">
        <f t="shared" si="1258"/>
        <v>0</v>
      </c>
      <c r="R347" s="136">
        <f t="shared" si="1259"/>
        <v>0</v>
      </c>
      <c r="S347" s="136">
        <f t="shared" si="1260"/>
        <v>0</v>
      </c>
      <c r="T347" s="136">
        <f t="shared" si="989"/>
        <v>0</v>
      </c>
      <c r="U347" s="136">
        <f t="shared" si="989"/>
        <v>0</v>
      </c>
      <c r="V347" s="136">
        <f t="shared" si="1261"/>
        <v>0</v>
      </c>
      <c r="W347" s="136">
        <f t="shared" si="1262"/>
        <v>0</v>
      </c>
      <c r="X347" s="130">
        <f t="shared" si="1227"/>
        <v>0</v>
      </c>
      <c r="Z347" s="64">
        <f t="shared" ref="Z347" si="1269">AA347+AB347</f>
        <v>0</v>
      </c>
      <c r="AA347" s="64">
        <f t="shared" ref="AA347:AB354" si="1270">+H347*Inf</f>
        <v>0</v>
      </c>
      <c r="AB347" s="64">
        <f t="shared" si="1270"/>
        <v>0</v>
      </c>
      <c r="AD347" s="64">
        <f t="shared" ref="AD347" si="1271">AE347+AF347</f>
        <v>0</v>
      </c>
      <c r="AE347" s="64">
        <f t="shared" ref="AE347:AF354" si="1272">+AA347*Inf</f>
        <v>0</v>
      </c>
      <c r="AF347" s="64">
        <f t="shared" si="1272"/>
        <v>0</v>
      </c>
      <c r="AH347" s="64">
        <f t="shared" ref="AH347" si="1273">AI347+AJ347</f>
        <v>0</v>
      </c>
      <c r="AI347" s="64">
        <f t="shared" ref="AI347:AJ354" si="1274">+AE347*Inf</f>
        <v>0</v>
      </c>
      <c r="AJ347" s="64">
        <f t="shared" si="1274"/>
        <v>0</v>
      </c>
      <c r="AL347" s="64">
        <f t="shared" ref="AL347" si="1275">AM347+AN347</f>
        <v>0</v>
      </c>
      <c r="AM347" s="64">
        <f t="shared" ref="AM347:AN354" si="1276">+AI347*Inf</f>
        <v>0</v>
      </c>
      <c r="AN347" s="64">
        <f t="shared" si="1276"/>
        <v>0</v>
      </c>
      <c r="AO347" s="165" t="s">
        <v>35</v>
      </c>
    </row>
    <row r="348" spans="1:41" hidden="1" x14ac:dyDescent="0.25">
      <c r="A348" s="131"/>
      <c r="B348" s="63">
        <f>'Expense Input'!B100</f>
        <v>410</v>
      </c>
      <c r="C348" s="63">
        <f>'Expense Input'!C100</f>
        <v>4000</v>
      </c>
      <c r="D348" s="63">
        <f>'Expense Input'!D100</f>
        <v>7600</v>
      </c>
      <c r="E348" s="63">
        <f>'Expense Input'!E100</f>
        <v>320</v>
      </c>
      <c r="F348" s="63" t="str">
        <f>'Expense Input'!F100</f>
        <v>Insurance</v>
      </c>
      <c r="G348" s="64">
        <f>'Expense Input'!Q100</f>
        <v>0</v>
      </c>
      <c r="H348" s="64">
        <f>'Expense Input'!R100</f>
        <v>0</v>
      </c>
      <c r="I348" s="64">
        <f>'Expense Input'!S100</f>
        <v>0</v>
      </c>
      <c r="J348" s="129" t="str">
        <f t="shared" si="901"/>
        <v/>
      </c>
      <c r="L348" s="132">
        <f t="shared" si="1150"/>
        <v>0</v>
      </c>
      <c r="M348" s="132">
        <f t="shared" si="1257"/>
        <v>0</v>
      </c>
      <c r="N348" s="130"/>
      <c r="O348" s="136"/>
      <c r="P348" s="136">
        <f t="shared" si="1263"/>
        <v>0</v>
      </c>
      <c r="Q348" s="136">
        <f t="shared" si="1258"/>
        <v>0</v>
      </c>
      <c r="R348" s="136">
        <f t="shared" si="1259"/>
        <v>0</v>
      </c>
      <c r="S348" s="136">
        <f t="shared" si="1260"/>
        <v>0</v>
      </c>
      <c r="T348" s="136">
        <f t="shared" ref="T348:U411" si="1277">IF($B348=435,H348,0)</f>
        <v>0</v>
      </c>
      <c r="U348" s="136">
        <f t="shared" si="1277"/>
        <v>0</v>
      </c>
      <c r="V348" s="136">
        <f t="shared" si="1261"/>
        <v>0</v>
      </c>
      <c r="W348" s="136">
        <f t="shared" si="1262"/>
        <v>0</v>
      </c>
      <c r="X348" s="130">
        <f t="shared" si="1227"/>
        <v>0</v>
      </c>
      <c r="Z348" s="64">
        <f t="shared" ref="Z348:Z364" si="1278">AA348+AB348</f>
        <v>0</v>
      </c>
      <c r="AA348" s="64">
        <f t="shared" si="1270"/>
        <v>0</v>
      </c>
      <c r="AB348" s="64">
        <f t="shared" si="1270"/>
        <v>0</v>
      </c>
      <c r="AD348" s="64">
        <f t="shared" ref="AD348:AD364" si="1279">AE348+AF348</f>
        <v>0</v>
      </c>
      <c r="AE348" s="64">
        <f t="shared" si="1272"/>
        <v>0</v>
      </c>
      <c r="AF348" s="64">
        <f t="shared" si="1272"/>
        <v>0</v>
      </c>
      <c r="AH348" s="64">
        <f t="shared" ref="AH348:AH364" si="1280">AI348+AJ348</f>
        <v>0</v>
      </c>
      <c r="AI348" s="64">
        <f t="shared" si="1274"/>
        <v>0</v>
      </c>
      <c r="AJ348" s="64">
        <f t="shared" si="1274"/>
        <v>0</v>
      </c>
      <c r="AL348" s="64">
        <f t="shared" ref="AL348:AL364" si="1281">AM348+AN348</f>
        <v>0</v>
      </c>
      <c r="AM348" s="64">
        <f t="shared" si="1276"/>
        <v>0</v>
      </c>
      <c r="AN348" s="64">
        <f t="shared" si="1276"/>
        <v>0</v>
      </c>
      <c r="AO348" s="165" t="s">
        <v>35</v>
      </c>
    </row>
    <row r="349" spans="1:41" x14ac:dyDescent="0.25">
      <c r="A349" s="131"/>
      <c r="B349" s="63">
        <f>'Expense Input'!B101</f>
        <v>410</v>
      </c>
      <c r="C349" s="63">
        <f>'Expense Input'!C101</f>
        <v>4000</v>
      </c>
      <c r="D349" s="63">
        <f>'Expense Input'!D101</f>
        <v>7600</v>
      </c>
      <c r="E349" s="63">
        <f>'Expense Input'!E101</f>
        <v>350</v>
      </c>
      <c r="F349" s="63" t="str">
        <f>'Expense Input'!F101</f>
        <v>Repairs and Maintenance</v>
      </c>
      <c r="G349" s="64">
        <f>'Expense Input'!Q101</f>
        <v>360.00439999999998</v>
      </c>
      <c r="H349" s="64">
        <f>'Expense Input'!R101</f>
        <v>0</v>
      </c>
      <c r="I349" s="64">
        <f>'Expense Input'!S101</f>
        <v>360.00439999999998</v>
      </c>
      <c r="J349" s="129" t="str">
        <f t="shared" si="901"/>
        <v>*</v>
      </c>
      <c r="L349" s="132">
        <f t="shared" si="1150"/>
        <v>0</v>
      </c>
      <c r="M349" s="132">
        <f t="shared" si="1257"/>
        <v>360.00439999999998</v>
      </c>
      <c r="N349" s="130"/>
      <c r="O349" s="136"/>
      <c r="P349" s="136">
        <f t="shared" si="1263"/>
        <v>0</v>
      </c>
      <c r="Q349" s="136">
        <f t="shared" si="1258"/>
        <v>0</v>
      </c>
      <c r="R349" s="136">
        <f t="shared" si="1259"/>
        <v>0</v>
      </c>
      <c r="S349" s="136">
        <f t="shared" si="1260"/>
        <v>0</v>
      </c>
      <c r="T349" s="136">
        <f t="shared" si="1277"/>
        <v>0</v>
      </c>
      <c r="U349" s="136">
        <f t="shared" si="1277"/>
        <v>0</v>
      </c>
      <c r="V349" s="136">
        <f t="shared" si="1261"/>
        <v>0</v>
      </c>
      <c r="W349" s="136">
        <f t="shared" si="1262"/>
        <v>360.00439999999998</v>
      </c>
      <c r="X349" s="130">
        <f t="shared" si="1227"/>
        <v>360.00439999999998</v>
      </c>
      <c r="Z349" s="64">
        <f t="shared" si="1278"/>
        <v>363.604444</v>
      </c>
      <c r="AA349" s="64">
        <f t="shared" si="1270"/>
        <v>0</v>
      </c>
      <c r="AB349" s="64">
        <f t="shared" si="1270"/>
        <v>363.604444</v>
      </c>
      <c r="AD349" s="64">
        <f t="shared" si="1279"/>
        <v>367.24048843999998</v>
      </c>
      <c r="AE349" s="64">
        <f t="shared" si="1272"/>
        <v>0</v>
      </c>
      <c r="AF349" s="64">
        <f t="shared" si="1272"/>
        <v>367.24048843999998</v>
      </c>
      <c r="AH349" s="64">
        <f t="shared" si="1280"/>
        <v>370.91289332439999</v>
      </c>
      <c r="AI349" s="64">
        <f t="shared" si="1274"/>
        <v>0</v>
      </c>
      <c r="AJ349" s="64">
        <f t="shared" si="1274"/>
        <v>370.91289332439999</v>
      </c>
      <c r="AL349" s="64">
        <f t="shared" si="1281"/>
        <v>374.62202225764401</v>
      </c>
      <c r="AM349" s="64">
        <f t="shared" si="1276"/>
        <v>0</v>
      </c>
      <c r="AN349" s="64">
        <f t="shared" si="1276"/>
        <v>374.62202225764401</v>
      </c>
      <c r="AO349" s="165" t="s">
        <v>35</v>
      </c>
    </row>
    <row r="350" spans="1:41" ht="13.2" customHeight="1" x14ac:dyDescent="0.25">
      <c r="A350" s="131"/>
      <c r="B350" s="63">
        <f>'Expense Input'!B102</f>
        <v>410</v>
      </c>
      <c r="C350" s="63">
        <f>'Expense Input'!C102</f>
        <v>4000</v>
      </c>
      <c r="D350" s="63">
        <f>'Expense Input'!D102</f>
        <v>7600</v>
      </c>
      <c r="E350" s="63">
        <f>'Expense Input'!E102</f>
        <v>365</v>
      </c>
      <c r="F350" s="63" t="str">
        <f>'Expense Input'!F102</f>
        <v>Software, License, Support, &amp; Maintenance</v>
      </c>
      <c r="G350" s="64">
        <f>'Expense Input'!Q102</f>
        <v>3302.7</v>
      </c>
      <c r="H350" s="64">
        <f>'Expense Input'!R102</f>
        <v>0</v>
      </c>
      <c r="I350" s="64">
        <f>'Expense Input'!S102</f>
        <v>3302.7</v>
      </c>
      <c r="J350" s="129" t="str">
        <f t="shared" si="901"/>
        <v>*</v>
      </c>
      <c r="L350" s="132">
        <f t="shared" si="1150"/>
        <v>0</v>
      </c>
      <c r="M350" s="132">
        <f t="shared" si="1257"/>
        <v>3302.7</v>
      </c>
      <c r="N350" s="130"/>
      <c r="O350" s="136"/>
      <c r="P350" s="136">
        <f t="shared" si="1263"/>
        <v>0</v>
      </c>
      <c r="Q350" s="136">
        <f t="shared" si="1258"/>
        <v>0</v>
      </c>
      <c r="R350" s="136">
        <f t="shared" si="1259"/>
        <v>0</v>
      </c>
      <c r="S350" s="136">
        <f t="shared" si="1260"/>
        <v>0</v>
      </c>
      <c r="T350" s="136">
        <f t="shared" si="1277"/>
        <v>0</v>
      </c>
      <c r="U350" s="136">
        <f t="shared" si="1277"/>
        <v>0</v>
      </c>
      <c r="V350" s="136">
        <f t="shared" si="1261"/>
        <v>0</v>
      </c>
      <c r="W350" s="136">
        <f t="shared" si="1262"/>
        <v>3302.7</v>
      </c>
      <c r="X350" s="130">
        <f t="shared" si="1227"/>
        <v>3302.7</v>
      </c>
      <c r="Z350" s="64">
        <f t="shared" si="1278"/>
        <v>3335.7269999999999</v>
      </c>
      <c r="AA350" s="64">
        <f t="shared" si="1270"/>
        <v>0</v>
      </c>
      <c r="AB350" s="64">
        <f t="shared" si="1270"/>
        <v>3335.7269999999999</v>
      </c>
      <c r="AD350" s="64">
        <f t="shared" si="1279"/>
        <v>3369.0842699999998</v>
      </c>
      <c r="AE350" s="64">
        <f t="shared" si="1272"/>
        <v>0</v>
      </c>
      <c r="AF350" s="64">
        <f t="shared" si="1272"/>
        <v>3369.0842699999998</v>
      </c>
      <c r="AH350" s="64">
        <f t="shared" si="1280"/>
        <v>3402.7751126999997</v>
      </c>
      <c r="AI350" s="64">
        <f t="shared" si="1274"/>
        <v>0</v>
      </c>
      <c r="AJ350" s="64">
        <f t="shared" si="1274"/>
        <v>3402.7751126999997</v>
      </c>
      <c r="AL350" s="64">
        <f t="shared" si="1281"/>
        <v>3436.8028638269998</v>
      </c>
      <c r="AM350" s="64">
        <f t="shared" si="1276"/>
        <v>0</v>
      </c>
      <c r="AN350" s="64">
        <f t="shared" si="1276"/>
        <v>3436.8028638269998</v>
      </c>
      <c r="AO350" s="165" t="s">
        <v>35</v>
      </c>
    </row>
    <row r="351" spans="1:41" s="1" customFormat="1" ht="13.2" hidden="1" customHeight="1" x14ac:dyDescent="0.25">
      <c r="A351" s="137"/>
      <c r="B351" s="63">
        <f>'Expense Input'!B103</f>
        <v>410</v>
      </c>
      <c r="C351" s="63">
        <f>'Expense Input'!C103</f>
        <v>4000</v>
      </c>
      <c r="D351" s="63">
        <f>'Expense Input'!D103</f>
        <v>7600</v>
      </c>
      <c r="E351" s="63">
        <f>'Expense Input'!E103</f>
        <v>370</v>
      </c>
      <c r="F351" s="63" t="str">
        <f>'Expense Input'!F103</f>
        <v>Postage</v>
      </c>
      <c r="G351" s="64">
        <f>'Expense Input'!Q103</f>
        <v>0</v>
      </c>
      <c r="H351" s="64">
        <f>'Expense Input'!R103</f>
        <v>0</v>
      </c>
      <c r="I351" s="64">
        <f>'Expense Input'!S103</f>
        <v>0</v>
      </c>
      <c r="J351" s="129" t="str">
        <f t="shared" si="901"/>
        <v/>
      </c>
      <c r="K351" s="129"/>
      <c r="L351" s="132">
        <f>IF(E371&lt;300,G371,0)</f>
        <v>0</v>
      </c>
      <c r="M351" s="132">
        <f t="shared" si="1257"/>
        <v>0</v>
      </c>
      <c r="N351" s="130"/>
      <c r="O351" s="136"/>
      <c r="P351" s="136">
        <f>IF(B371=490,G371,0)</f>
        <v>0</v>
      </c>
      <c r="Q351" s="136">
        <f t="shared" si="1258"/>
        <v>0</v>
      </c>
      <c r="R351" s="136">
        <f t="shared" si="1259"/>
        <v>0</v>
      </c>
      <c r="S351" s="136">
        <f t="shared" si="1260"/>
        <v>0</v>
      </c>
      <c r="T351" s="136">
        <f t="shared" si="1277"/>
        <v>0</v>
      </c>
      <c r="U351" s="136">
        <f t="shared" si="1277"/>
        <v>0</v>
      </c>
      <c r="V351" s="136">
        <f t="shared" si="1261"/>
        <v>0</v>
      </c>
      <c r="W351" s="136">
        <f t="shared" si="1262"/>
        <v>0</v>
      </c>
      <c r="X351" s="130">
        <f t="shared" si="1227"/>
        <v>0</v>
      </c>
      <c r="Y351" s="129"/>
      <c r="Z351" s="64">
        <f t="shared" si="1278"/>
        <v>0</v>
      </c>
      <c r="AA351" s="64">
        <f t="shared" si="1270"/>
        <v>0</v>
      </c>
      <c r="AB351" s="64">
        <f t="shared" si="1270"/>
        <v>0</v>
      </c>
      <c r="AC351" s="77"/>
      <c r="AD351" s="64">
        <f t="shared" si="1279"/>
        <v>0</v>
      </c>
      <c r="AE351" s="64">
        <f t="shared" si="1272"/>
        <v>0</v>
      </c>
      <c r="AF351" s="64">
        <f t="shared" si="1272"/>
        <v>0</v>
      </c>
      <c r="AG351" s="77"/>
      <c r="AH351" s="64">
        <f t="shared" si="1280"/>
        <v>0</v>
      </c>
      <c r="AI351" s="64">
        <f t="shared" si="1274"/>
        <v>0</v>
      </c>
      <c r="AJ351" s="64">
        <f t="shared" si="1274"/>
        <v>0</v>
      </c>
      <c r="AK351" s="77"/>
      <c r="AL351" s="64">
        <f t="shared" si="1281"/>
        <v>0</v>
      </c>
      <c r="AM351" s="64">
        <f t="shared" si="1276"/>
        <v>0</v>
      </c>
      <c r="AN351" s="64">
        <f t="shared" si="1276"/>
        <v>0</v>
      </c>
      <c r="AO351" s="165" t="s">
        <v>35</v>
      </c>
    </row>
    <row r="352" spans="1:41" s="129" customFormat="1" ht="13.2" customHeight="1" x14ac:dyDescent="0.25">
      <c r="A352" s="137"/>
      <c r="B352" s="63">
        <f>'Expense Input'!B104</f>
        <v>410</v>
      </c>
      <c r="C352" s="63">
        <f>'Expense Input'!C104</f>
        <v>4000</v>
      </c>
      <c r="D352" s="63">
        <f>'Expense Input'!D104</f>
        <v>7600</v>
      </c>
      <c r="E352" s="63">
        <f>'Expense Input'!E104</f>
        <v>410</v>
      </c>
      <c r="F352" s="63" t="str">
        <f>'Expense Input'!F104</f>
        <v>Natural Gas</v>
      </c>
      <c r="G352" s="64">
        <f>'Expense Input'!Q104</f>
        <v>3338.9236499999997</v>
      </c>
      <c r="H352" s="64">
        <f>'Expense Input'!R104</f>
        <v>0</v>
      </c>
      <c r="I352" s="64">
        <f>'Expense Input'!S104</f>
        <v>3338.9236499999997</v>
      </c>
      <c r="J352" s="129" t="str">
        <f t="shared" si="901"/>
        <v>*</v>
      </c>
      <c r="L352" s="132">
        <f>IF(E372&lt;300,G372,0)</f>
        <v>0</v>
      </c>
      <c r="M352" s="132">
        <f t="shared" si="1257"/>
        <v>3338.9236499999997</v>
      </c>
      <c r="N352" s="130"/>
      <c r="O352" s="136"/>
      <c r="P352" s="136">
        <f>IF(B372=490,G372,0)</f>
        <v>0</v>
      </c>
      <c r="Q352" s="136">
        <f t="shared" si="1258"/>
        <v>0</v>
      </c>
      <c r="R352" s="136">
        <f t="shared" si="1259"/>
        <v>0</v>
      </c>
      <c r="S352" s="136">
        <f t="shared" si="1260"/>
        <v>0</v>
      </c>
      <c r="T352" s="136">
        <f t="shared" si="1277"/>
        <v>0</v>
      </c>
      <c r="U352" s="136">
        <f t="shared" si="1277"/>
        <v>0</v>
      </c>
      <c r="V352" s="136">
        <f t="shared" si="1261"/>
        <v>0</v>
      </c>
      <c r="W352" s="136">
        <f t="shared" si="1262"/>
        <v>3338.9236499999997</v>
      </c>
      <c r="X352" s="130">
        <f t="shared" ref="X352" si="1282">+W352+Q352-O352</f>
        <v>3338.9236499999997</v>
      </c>
      <c r="Z352" s="64">
        <f t="shared" si="1278"/>
        <v>3372.3128864999999</v>
      </c>
      <c r="AA352" s="64">
        <f t="shared" si="1270"/>
        <v>0</v>
      </c>
      <c r="AB352" s="64">
        <f t="shared" si="1270"/>
        <v>3372.3128864999999</v>
      </c>
      <c r="AC352" s="77"/>
      <c r="AD352" s="64">
        <f t="shared" si="1279"/>
        <v>3406.0360153649999</v>
      </c>
      <c r="AE352" s="64">
        <f t="shared" si="1272"/>
        <v>0</v>
      </c>
      <c r="AF352" s="64">
        <f t="shared" si="1272"/>
        <v>3406.0360153649999</v>
      </c>
      <c r="AG352" s="77"/>
      <c r="AH352" s="64">
        <f t="shared" si="1280"/>
        <v>3440.0963755186499</v>
      </c>
      <c r="AI352" s="64">
        <f t="shared" si="1274"/>
        <v>0</v>
      </c>
      <c r="AJ352" s="64">
        <f t="shared" si="1274"/>
        <v>3440.0963755186499</v>
      </c>
      <c r="AK352" s="77"/>
      <c r="AL352" s="64">
        <f t="shared" si="1281"/>
        <v>3474.4973392738366</v>
      </c>
      <c r="AM352" s="64">
        <f t="shared" si="1276"/>
        <v>0</v>
      </c>
      <c r="AN352" s="64">
        <f t="shared" si="1276"/>
        <v>3474.4973392738366</v>
      </c>
      <c r="AO352" s="165" t="s">
        <v>35</v>
      </c>
    </row>
    <row r="353" spans="1:41" s="129" customFormat="1" ht="13.2" hidden="1" customHeight="1" x14ac:dyDescent="0.25">
      <c r="A353" s="137"/>
      <c r="B353" s="63">
        <f>'Expense Input'!B105</f>
        <v>410</v>
      </c>
      <c r="C353" s="63">
        <f>'Expense Input'!C105</f>
        <v>4000</v>
      </c>
      <c r="D353" s="63">
        <f>'Expense Input'!D105</f>
        <v>7600</v>
      </c>
      <c r="E353" s="63">
        <f>'Expense Input'!E105</f>
        <v>430</v>
      </c>
      <c r="F353" s="63" t="str">
        <f>'Expense Input'!F105</f>
        <v>Electricity</v>
      </c>
      <c r="G353" s="64">
        <f>'Expense Input'!Q105</f>
        <v>0</v>
      </c>
      <c r="H353" s="64">
        <f>'Expense Input'!R105</f>
        <v>0</v>
      </c>
      <c r="I353" s="64">
        <f>'Expense Input'!S105</f>
        <v>0</v>
      </c>
      <c r="J353" s="129" t="str">
        <f t="shared" si="901"/>
        <v/>
      </c>
      <c r="L353" s="132">
        <f>IF(E373&lt;300,G373,0)</f>
        <v>0</v>
      </c>
      <c r="M353" s="132">
        <f t="shared" si="1257"/>
        <v>0</v>
      </c>
      <c r="N353" s="130"/>
      <c r="O353" s="136"/>
      <c r="P353" s="136">
        <f>IF(B373=490,G373,0)</f>
        <v>0</v>
      </c>
      <c r="Q353" s="136">
        <f t="shared" ref="Q353:Q365" si="1283">IF(B353=410,H353,0)</f>
        <v>0</v>
      </c>
      <c r="R353" s="136">
        <f t="shared" si="1259"/>
        <v>0</v>
      </c>
      <c r="S353" s="136">
        <f t="shared" si="1260"/>
        <v>0</v>
      </c>
      <c r="T353" s="136">
        <f t="shared" si="1277"/>
        <v>0</v>
      </c>
      <c r="U353" s="136">
        <f t="shared" si="1277"/>
        <v>0</v>
      </c>
      <c r="V353" s="136">
        <f t="shared" si="1261"/>
        <v>0</v>
      </c>
      <c r="W353" s="136">
        <f t="shared" si="1262"/>
        <v>0</v>
      </c>
      <c r="X353" s="130">
        <f t="shared" ref="X353" si="1284">+W353+Q353-O353</f>
        <v>0</v>
      </c>
      <c r="Z353" s="64">
        <f t="shared" si="1278"/>
        <v>0</v>
      </c>
      <c r="AA353" s="64">
        <f t="shared" si="1270"/>
        <v>0</v>
      </c>
      <c r="AB353" s="64">
        <f t="shared" si="1270"/>
        <v>0</v>
      </c>
      <c r="AC353" s="77"/>
      <c r="AD353" s="64">
        <f t="shared" si="1279"/>
        <v>0</v>
      </c>
      <c r="AE353" s="64">
        <f t="shared" si="1272"/>
        <v>0</v>
      </c>
      <c r="AF353" s="64">
        <f t="shared" si="1272"/>
        <v>0</v>
      </c>
      <c r="AG353" s="77"/>
      <c r="AH353" s="64">
        <f t="shared" si="1280"/>
        <v>0</v>
      </c>
      <c r="AI353" s="64">
        <f t="shared" si="1274"/>
        <v>0</v>
      </c>
      <c r="AJ353" s="64">
        <f t="shared" si="1274"/>
        <v>0</v>
      </c>
      <c r="AK353" s="77"/>
      <c r="AL353" s="64">
        <f t="shared" si="1281"/>
        <v>0</v>
      </c>
      <c r="AM353" s="64">
        <f t="shared" si="1276"/>
        <v>0</v>
      </c>
      <c r="AN353" s="64">
        <f t="shared" si="1276"/>
        <v>0</v>
      </c>
      <c r="AO353" s="165" t="s">
        <v>35</v>
      </c>
    </row>
    <row r="354" spans="1:41" s="129" customFormat="1" ht="13.2" customHeight="1" x14ac:dyDescent="0.25">
      <c r="A354" s="137"/>
      <c r="B354" s="63">
        <f>'Expense Input'!B106</f>
        <v>410</v>
      </c>
      <c r="C354" s="63">
        <f>'Expense Input'!C106</f>
        <v>4000</v>
      </c>
      <c r="D354" s="63">
        <f>'Expense Input'!D106</f>
        <v>7600</v>
      </c>
      <c r="E354" s="63">
        <f>'Expense Input'!E106</f>
        <v>450</v>
      </c>
      <c r="F354" s="63" t="str">
        <f>'Expense Input'!F106</f>
        <v>Gasoline</v>
      </c>
      <c r="G354" s="64">
        <f>'Expense Input'!Q106</f>
        <v>244.21800000000002</v>
      </c>
      <c r="H354" s="64">
        <f>'Expense Input'!R106</f>
        <v>0</v>
      </c>
      <c r="I354" s="64">
        <f>'Expense Input'!S106</f>
        <v>244.21800000000002</v>
      </c>
      <c r="J354" s="129" t="str">
        <f t="shared" si="901"/>
        <v>*</v>
      </c>
      <c r="L354" s="132">
        <f>IF(E374&lt;300,G374,0)</f>
        <v>0</v>
      </c>
      <c r="M354" s="132">
        <f t="shared" si="1257"/>
        <v>244.21800000000002</v>
      </c>
      <c r="N354" s="130"/>
      <c r="O354" s="136"/>
      <c r="P354" s="136">
        <f>IF(B374=490,G374,0)</f>
        <v>0</v>
      </c>
      <c r="Q354" s="136">
        <f t="shared" si="1283"/>
        <v>0</v>
      </c>
      <c r="R354" s="136">
        <f t="shared" si="1259"/>
        <v>0</v>
      </c>
      <c r="S354" s="136">
        <f t="shared" si="1260"/>
        <v>0</v>
      </c>
      <c r="T354" s="136">
        <f t="shared" si="1277"/>
        <v>0</v>
      </c>
      <c r="U354" s="136">
        <f t="shared" si="1277"/>
        <v>0</v>
      </c>
      <c r="V354" s="136">
        <f t="shared" si="1261"/>
        <v>0</v>
      </c>
      <c r="W354" s="136">
        <f t="shared" si="1262"/>
        <v>244.21800000000002</v>
      </c>
      <c r="X354" s="130">
        <f t="shared" ref="X354:X355" si="1285">+W354+Q354-O354</f>
        <v>244.21800000000002</v>
      </c>
      <c r="Z354" s="64">
        <f t="shared" si="1278"/>
        <v>246.66018000000003</v>
      </c>
      <c r="AA354" s="64">
        <f t="shared" si="1270"/>
        <v>0</v>
      </c>
      <c r="AB354" s="64">
        <f t="shared" si="1270"/>
        <v>246.66018000000003</v>
      </c>
      <c r="AC354" s="77"/>
      <c r="AD354" s="64">
        <f t="shared" si="1279"/>
        <v>249.12678180000003</v>
      </c>
      <c r="AE354" s="64">
        <f t="shared" si="1272"/>
        <v>0</v>
      </c>
      <c r="AF354" s="64">
        <f t="shared" si="1272"/>
        <v>249.12678180000003</v>
      </c>
      <c r="AG354" s="77"/>
      <c r="AH354" s="64">
        <f t="shared" si="1280"/>
        <v>251.61804961800004</v>
      </c>
      <c r="AI354" s="64">
        <f t="shared" si="1274"/>
        <v>0</v>
      </c>
      <c r="AJ354" s="64">
        <f t="shared" si="1274"/>
        <v>251.61804961800004</v>
      </c>
      <c r="AK354" s="77"/>
      <c r="AL354" s="64">
        <f t="shared" si="1281"/>
        <v>254.13423011418004</v>
      </c>
      <c r="AM354" s="64">
        <f t="shared" si="1276"/>
        <v>0</v>
      </c>
      <c r="AN354" s="64">
        <f t="shared" si="1276"/>
        <v>254.13423011418004</v>
      </c>
      <c r="AO354" s="165" t="s">
        <v>35</v>
      </c>
    </row>
    <row r="355" spans="1:41" s="129" customFormat="1" ht="13.2" customHeight="1" x14ac:dyDescent="0.25">
      <c r="A355" s="137"/>
      <c r="B355" s="63">
        <f>'Expense Input'!B107</f>
        <v>410</v>
      </c>
      <c r="C355" s="63">
        <f>'Expense Input'!C107</f>
        <v>4000</v>
      </c>
      <c r="D355" s="63">
        <f>'Expense Input'!D107</f>
        <v>7600</v>
      </c>
      <c r="E355" s="63">
        <f>'Expense Input'!E107</f>
        <v>510</v>
      </c>
      <c r="F355" s="63" t="str">
        <f>'Expense Input'!F107</f>
        <v>Food Service Supplies</v>
      </c>
      <c r="G355" s="64">
        <f>'Expense Input'!Q107</f>
        <v>102247.46133276304</v>
      </c>
      <c r="H355" s="64">
        <f>'Expense Input'!R107</f>
        <v>0</v>
      </c>
      <c r="I355" s="64">
        <f>'Expense Input'!S107</f>
        <v>102247.46133276304</v>
      </c>
      <c r="J355" s="129" t="str">
        <f t="shared" ref="J355" si="1286">IF(G355&gt;0.49,"*","")</f>
        <v>*</v>
      </c>
      <c r="L355" s="132">
        <f t="shared" ref="L355" si="1287">IF(E374&lt;300,G374,0)</f>
        <v>0</v>
      </c>
      <c r="M355" s="132">
        <f t="shared" ref="M355" si="1288">IF(E355&gt;299,G355,0)</f>
        <v>102247.46133276304</v>
      </c>
      <c r="N355" s="130"/>
      <c r="O355" s="136"/>
      <c r="P355" s="136">
        <f t="shared" ref="P355" si="1289">IF(B374=490,G374,0)</f>
        <v>0</v>
      </c>
      <c r="Q355" s="136">
        <f t="shared" ref="Q355" si="1290">IF(B355=410,H355,0)</f>
        <v>0</v>
      </c>
      <c r="R355" s="136">
        <f t="shared" ref="R355" si="1291">IF(B355=432,H355,0)</f>
        <v>0</v>
      </c>
      <c r="S355" s="136">
        <f t="shared" ref="S355" si="1292">IF(B355=432,I355,0)</f>
        <v>0</v>
      </c>
      <c r="T355" s="136">
        <f t="shared" si="1277"/>
        <v>0</v>
      </c>
      <c r="U355" s="136">
        <f t="shared" si="1277"/>
        <v>0</v>
      </c>
      <c r="V355" s="136">
        <f t="shared" ref="V355" si="1293">IF(B355=360,I355,0)</f>
        <v>0</v>
      </c>
      <c r="W355" s="136">
        <f t="shared" ref="W355" si="1294">IF(B355=410,I355,0)</f>
        <v>102247.46133276304</v>
      </c>
      <c r="X355" s="130">
        <f t="shared" si="1285"/>
        <v>102247.46133276304</v>
      </c>
      <c r="Z355" s="103">
        <f t="shared" si="1278"/>
        <v>145924.90948904117</v>
      </c>
      <c r="AA355" s="103">
        <f>+H355/H$11*AA$11*Inf</f>
        <v>0</v>
      </c>
      <c r="AB355" s="103">
        <f>+I355/I$11*AB$11*Inf</f>
        <v>145924.90948904117</v>
      </c>
      <c r="AC355" s="77"/>
      <c r="AD355" s="103">
        <f t="shared" si="1279"/>
        <v>147384.15858393157</v>
      </c>
      <c r="AE355" s="103">
        <f>+AA355/AA$11*AE$11*Inf</f>
        <v>0</v>
      </c>
      <c r="AF355" s="103">
        <f>+AB355/AB$11*AF$11*Inf</f>
        <v>147384.15858393157</v>
      </c>
      <c r="AG355" s="77"/>
      <c r="AH355" s="103">
        <f t="shared" si="1280"/>
        <v>160308.61556744558</v>
      </c>
      <c r="AI355" s="103">
        <f>+AE355/AE$11*AI$11*Inf</f>
        <v>0</v>
      </c>
      <c r="AJ355" s="103">
        <f>+AF355/AF$11*AJ$11*Inf</f>
        <v>160308.61556744558</v>
      </c>
      <c r="AK355" s="77"/>
      <c r="AL355" s="103">
        <f t="shared" si="1281"/>
        <v>161911.70172312003</v>
      </c>
      <c r="AM355" s="103">
        <f>+AI355/AI$11*AM$11*Inf</f>
        <v>0</v>
      </c>
      <c r="AN355" s="103">
        <f>+AJ355/AJ$11*AN$11*Inf</f>
        <v>161911.70172312003</v>
      </c>
      <c r="AO355" s="165" t="s">
        <v>42</v>
      </c>
    </row>
    <row r="356" spans="1:41" s="129" customFormat="1" ht="13.2" hidden="1" customHeight="1" x14ac:dyDescent="0.25">
      <c r="A356" s="137"/>
      <c r="B356" s="63">
        <f>'Expense Input'!B108</f>
        <v>495</v>
      </c>
      <c r="C356" s="63">
        <f>'Expense Input'!C108</f>
        <v>4000</v>
      </c>
      <c r="D356" s="63">
        <f>'Expense Input'!D108</f>
        <v>7600</v>
      </c>
      <c r="E356" s="63">
        <f>'Expense Input'!E108</f>
        <v>510</v>
      </c>
      <c r="F356" s="63" t="str">
        <f>'Expense Input'!F108</f>
        <v>Supplies</v>
      </c>
      <c r="G356" s="64">
        <f>'Expense Input'!Q108</f>
        <v>0</v>
      </c>
      <c r="H356" s="64">
        <f>'Expense Input'!R108</f>
        <v>0</v>
      </c>
      <c r="I356" s="64">
        <f>'Expense Input'!S108</f>
        <v>0</v>
      </c>
      <c r="J356" s="129" t="str">
        <f t="shared" si="901"/>
        <v/>
      </c>
      <c r="L356" s="132">
        <f t="shared" ref="L356" si="1295">IF(E375&lt;300,G375,0)</f>
        <v>0</v>
      </c>
      <c r="M356" s="132">
        <f t="shared" si="1257"/>
        <v>0</v>
      </c>
      <c r="N356" s="130"/>
      <c r="O356" s="136"/>
      <c r="P356" s="136">
        <f t="shared" ref="P356" si="1296">IF(B375=490,G375,0)</f>
        <v>0</v>
      </c>
      <c r="Q356" s="136">
        <f t="shared" si="1283"/>
        <v>0</v>
      </c>
      <c r="R356" s="136">
        <f t="shared" si="1259"/>
        <v>0</v>
      </c>
      <c r="S356" s="136">
        <f t="shared" si="1260"/>
        <v>0</v>
      </c>
      <c r="T356" s="136">
        <f t="shared" si="1277"/>
        <v>0</v>
      </c>
      <c r="U356" s="136">
        <f t="shared" si="1277"/>
        <v>0</v>
      </c>
      <c r="V356" s="136">
        <f t="shared" si="1261"/>
        <v>0</v>
      </c>
      <c r="W356" s="136">
        <f t="shared" si="1262"/>
        <v>0</v>
      </c>
      <c r="X356" s="130">
        <f t="shared" ref="X356" si="1297">+W356+Q356-O356</f>
        <v>0</v>
      </c>
      <c r="Z356" s="64">
        <f t="shared" si="1278"/>
        <v>0</v>
      </c>
      <c r="AA356" s="64">
        <f t="shared" ref="AA356:AA364" si="1298">+H356*Inf</f>
        <v>0</v>
      </c>
      <c r="AB356" s="64">
        <f t="shared" ref="AB356:AB364" si="1299">+I356*Inf</f>
        <v>0</v>
      </c>
      <c r="AC356" s="77"/>
      <c r="AD356" s="64">
        <f t="shared" si="1279"/>
        <v>0</v>
      </c>
      <c r="AE356" s="64">
        <f t="shared" ref="AE356:AE364" si="1300">+AA356*Inf</f>
        <v>0</v>
      </c>
      <c r="AF356" s="64">
        <f t="shared" ref="AF356:AF364" si="1301">+AB356*Inf</f>
        <v>0</v>
      </c>
      <c r="AG356" s="77"/>
      <c r="AH356" s="64">
        <f t="shared" si="1280"/>
        <v>0</v>
      </c>
      <c r="AI356" s="64">
        <f t="shared" ref="AI356:AI364" si="1302">+AE356*Inf</f>
        <v>0</v>
      </c>
      <c r="AJ356" s="64">
        <f t="shared" ref="AJ356:AJ364" si="1303">+AF356*Inf</f>
        <v>0</v>
      </c>
      <c r="AK356" s="77"/>
      <c r="AL356" s="64">
        <f t="shared" si="1281"/>
        <v>0</v>
      </c>
      <c r="AM356" s="64">
        <f t="shared" ref="AM356:AM364" si="1304">+AI356*Inf</f>
        <v>0</v>
      </c>
      <c r="AN356" s="64">
        <f t="shared" ref="AN356:AN364" si="1305">+AJ356*Inf</f>
        <v>0</v>
      </c>
      <c r="AO356" s="165" t="s">
        <v>35</v>
      </c>
    </row>
    <row r="357" spans="1:41" s="129" customFormat="1" ht="13.2" customHeight="1" x14ac:dyDescent="0.25">
      <c r="A357" s="137"/>
      <c r="B357" s="63">
        <f>'Expense Input'!B109</f>
        <v>410</v>
      </c>
      <c r="C357" s="63">
        <f>'Expense Input'!C109</f>
        <v>4000</v>
      </c>
      <c r="D357" s="63">
        <f>'Expense Input'!D109</f>
        <v>7600</v>
      </c>
      <c r="E357" s="63">
        <f>'Expense Input'!E109</f>
        <v>511</v>
      </c>
      <c r="F357" s="63" t="str">
        <f>'Expense Input'!F109</f>
        <v>Nonprogrammed Food Supplies</v>
      </c>
      <c r="G357" s="64">
        <f>'Expense Input'!Q109</f>
        <v>3842.7267238002973</v>
      </c>
      <c r="H357" s="64">
        <f>'Expense Input'!R109</f>
        <v>0</v>
      </c>
      <c r="I357" s="64">
        <f>'Expense Input'!S109</f>
        <v>3842.7267238002973</v>
      </c>
      <c r="J357" s="129" t="str">
        <f t="shared" si="901"/>
        <v>*</v>
      </c>
      <c r="L357" s="132">
        <f>IF(E376&lt;300,G376,0)</f>
        <v>0</v>
      </c>
      <c r="M357" s="132">
        <f t="shared" ref="M357:M364" si="1306">IF(E357&gt;299,G357,0)</f>
        <v>3842.7267238002973</v>
      </c>
      <c r="N357" s="130"/>
      <c r="O357" s="136"/>
      <c r="P357" s="136">
        <f>IF(B376=490,G376,0)</f>
        <v>0</v>
      </c>
      <c r="Q357" s="136">
        <f t="shared" ref="Q357:Q364" si="1307">IF(B357=410,H357,0)</f>
        <v>0</v>
      </c>
      <c r="R357" s="136">
        <f t="shared" ref="R357:R364" si="1308">IF(B357=432,H357,0)</f>
        <v>0</v>
      </c>
      <c r="S357" s="136">
        <f t="shared" si="1260"/>
        <v>0</v>
      </c>
      <c r="T357" s="136">
        <f t="shared" si="1277"/>
        <v>0</v>
      </c>
      <c r="U357" s="136">
        <f t="shared" si="1277"/>
        <v>0</v>
      </c>
      <c r="V357" s="136">
        <f t="shared" ref="V357:V364" si="1309">IF(B357=360,I357,0)</f>
        <v>0</v>
      </c>
      <c r="W357" s="136">
        <f t="shared" ref="W357:W364" si="1310">IF(B357=410,I357,0)</f>
        <v>3842.7267238002973</v>
      </c>
      <c r="X357" s="130">
        <f t="shared" ref="X357:X364" si="1311">+W357+Q357-O357</f>
        <v>3842.7267238002973</v>
      </c>
      <c r="Z357" s="64">
        <f t="shared" si="1278"/>
        <v>3881.1539910383003</v>
      </c>
      <c r="AA357" s="64">
        <f t="shared" si="1298"/>
        <v>0</v>
      </c>
      <c r="AB357" s="64">
        <f t="shared" si="1299"/>
        <v>3881.1539910383003</v>
      </c>
      <c r="AC357" s="77"/>
      <c r="AD357" s="64">
        <f t="shared" si="1279"/>
        <v>3919.9655309486834</v>
      </c>
      <c r="AE357" s="64">
        <f t="shared" si="1300"/>
        <v>0</v>
      </c>
      <c r="AF357" s="64">
        <f t="shared" si="1301"/>
        <v>3919.9655309486834</v>
      </c>
      <c r="AG357" s="77"/>
      <c r="AH357" s="64">
        <f t="shared" si="1280"/>
        <v>3959.1651862581703</v>
      </c>
      <c r="AI357" s="64">
        <f t="shared" si="1302"/>
        <v>0</v>
      </c>
      <c r="AJ357" s="64">
        <f t="shared" si="1303"/>
        <v>3959.1651862581703</v>
      </c>
      <c r="AK357" s="77"/>
      <c r="AL357" s="64">
        <f t="shared" si="1281"/>
        <v>3998.756838120752</v>
      </c>
      <c r="AM357" s="64">
        <f t="shared" si="1304"/>
        <v>0</v>
      </c>
      <c r="AN357" s="64">
        <f t="shared" si="1305"/>
        <v>3998.756838120752</v>
      </c>
      <c r="AO357" s="165" t="s">
        <v>35</v>
      </c>
    </row>
    <row r="358" spans="1:41" s="129" customFormat="1" ht="13.2" hidden="1" customHeight="1" x14ac:dyDescent="0.25">
      <c r="A358" s="137"/>
      <c r="B358" s="63">
        <f>'Expense Input'!B110</f>
        <v>495</v>
      </c>
      <c r="C358" s="63">
        <f>'Expense Input'!C110</f>
        <v>4000</v>
      </c>
      <c r="D358" s="63">
        <f>'Expense Input'!D110</f>
        <v>7600</v>
      </c>
      <c r="E358" s="63">
        <f>'Expense Input'!E110</f>
        <v>640</v>
      </c>
      <c r="F358" s="63" t="str">
        <f>'Expense Input'!F110</f>
        <v>Furniture and Equipment</v>
      </c>
      <c r="G358" s="64">
        <f>'Expense Input'!Q110</f>
        <v>0</v>
      </c>
      <c r="H358" s="64">
        <f>'Expense Input'!R110</f>
        <v>0</v>
      </c>
      <c r="I358" s="64">
        <f>'Expense Input'!S110</f>
        <v>0</v>
      </c>
      <c r="J358" s="129" t="str">
        <f t="shared" ref="J358" si="1312">IF(G358&gt;0.49,"*","")</f>
        <v/>
      </c>
      <c r="L358" s="132">
        <f>IF(E377&lt;300,G377,0)</f>
        <v>0</v>
      </c>
      <c r="M358" s="132">
        <f t="shared" si="1306"/>
        <v>0</v>
      </c>
      <c r="N358" s="130"/>
      <c r="O358" s="136"/>
      <c r="P358" s="136">
        <f>IF(B377=490,G377,0)</f>
        <v>0</v>
      </c>
      <c r="Q358" s="136">
        <f t="shared" si="1307"/>
        <v>0</v>
      </c>
      <c r="R358" s="136">
        <f t="shared" si="1308"/>
        <v>0</v>
      </c>
      <c r="S358" s="136">
        <f t="shared" si="1260"/>
        <v>0</v>
      </c>
      <c r="T358" s="136">
        <f t="shared" si="1277"/>
        <v>0</v>
      </c>
      <c r="U358" s="136">
        <f t="shared" si="1277"/>
        <v>0</v>
      </c>
      <c r="V358" s="136">
        <f t="shared" si="1309"/>
        <v>0</v>
      </c>
      <c r="W358" s="136">
        <f t="shared" si="1310"/>
        <v>0</v>
      </c>
      <c r="X358" s="130">
        <f t="shared" si="1311"/>
        <v>0</v>
      </c>
      <c r="Z358" s="64">
        <f t="shared" si="1278"/>
        <v>0</v>
      </c>
      <c r="AA358" s="64">
        <f t="shared" si="1298"/>
        <v>0</v>
      </c>
      <c r="AB358" s="64">
        <f t="shared" si="1299"/>
        <v>0</v>
      </c>
      <c r="AC358" s="77"/>
      <c r="AD358" s="64">
        <f t="shared" si="1279"/>
        <v>0</v>
      </c>
      <c r="AE358" s="64">
        <f t="shared" si="1300"/>
        <v>0</v>
      </c>
      <c r="AF358" s="64">
        <f t="shared" si="1301"/>
        <v>0</v>
      </c>
      <c r="AG358" s="77"/>
      <c r="AH358" s="64">
        <f t="shared" si="1280"/>
        <v>0</v>
      </c>
      <c r="AI358" s="64">
        <f t="shared" si="1302"/>
        <v>0</v>
      </c>
      <c r="AJ358" s="64">
        <f t="shared" si="1303"/>
        <v>0</v>
      </c>
      <c r="AK358" s="77"/>
      <c r="AL358" s="64">
        <f t="shared" si="1281"/>
        <v>0</v>
      </c>
      <c r="AM358" s="64">
        <f t="shared" si="1304"/>
        <v>0</v>
      </c>
      <c r="AN358" s="64">
        <f t="shared" si="1305"/>
        <v>0</v>
      </c>
      <c r="AO358" s="165" t="s">
        <v>35</v>
      </c>
    </row>
    <row r="359" spans="1:41" s="129" customFormat="1" ht="13.2" customHeight="1" x14ac:dyDescent="0.25">
      <c r="A359" s="137"/>
      <c r="B359" s="63">
        <f>'Expense Input'!B111</f>
        <v>410</v>
      </c>
      <c r="C359" s="63">
        <f>'Expense Input'!C111</f>
        <v>4000</v>
      </c>
      <c r="D359" s="63">
        <f>'Expense Input'!D111</f>
        <v>7600</v>
      </c>
      <c r="E359" s="63">
        <f>'Expense Input'!E111</f>
        <v>641</v>
      </c>
      <c r="F359" s="63" t="str">
        <f>'Expense Input'!F111</f>
        <v>Capitalized Furniture Fixtures and Equipment</v>
      </c>
      <c r="G359" s="64">
        <f>'Expense Input'!Q111</f>
        <v>2000</v>
      </c>
      <c r="H359" s="64">
        <f>'Expense Input'!R111</f>
        <v>0</v>
      </c>
      <c r="I359" s="64">
        <f>'Expense Input'!S111</f>
        <v>2000</v>
      </c>
      <c r="J359" s="129" t="str">
        <f t="shared" si="901"/>
        <v>*</v>
      </c>
      <c r="L359" s="132">
        <f>IF(E378&lt;300,G378,0)</f>
        <v>0</v>
      </c>
      <c r="M359" s="132">
        <f t="shared" si="1306"/>
        <v>2000</v>
      </c>
      <c r="N359" s="130"/>
      <c r="O359" s="136"/>
      <c r="P359" s="136">
        <f>IF(B378=490,G378,0)</f>
        <v>0</v>
      </c>
      <c r="Q359" s="136">
        <f t="shared" si="1307"/>
        <v>0</v>
      </c>
      <c r="R359" s="136">
        <f t="shared" si="1308"/>
        <v>0</v>
      </c>
      <c r="S359" s="136">
        <f t="shared" si="1260"/>
        <v>0</v>
      </c>
      <c r="T359" s="136">
        <f t="shared" si="1277"/>
        <v>0</v>
      </c>
      <c r="U359" s="136">
        <f t="shared" si="1277"/>
        <v>0</v>
      </c>
      <c r="V359" s="136">
        <f t="shared" si="1309"/>
        <v>0</v>
      </c>
      <c r="W359" s="136">
        <f t="shared" si="1310"/>
        <v>2000</v>
      </c>
      <c r="X359" s="130">
        <f t="shared" si="1311"/>
        <v>2000</v>
      </c>
      <c r="Z359" s="64">
        <f t="shared" si="1278"/>
        <v>2020</v>
      </c>
      <c r="AA359" s="64">
        <f t="shared" si="1298"/>
        <v>0</v>
      </c>
      <c r="AB359" s="64">
        <f t="shared" si="1299"/>
        <v>2020</v>
      </c>
      <c r="AC359" s="77"/>
      <c r="AD359" s="64">
        <f t="shared" si="1279"/>
        <v>2040.2</v>
      </c>
      <c r="AE359" s="64">
        <f t="shared" si="1300"/>
        <v>0</v>
      </c>
      <c r="AF359" s="64">
        <f t="shared" si="1301"/>
        <v>2040.2</v>
      </c>
      <c r="AG359" s="77"/>
      <c r="AH359" s="64">
        <f t="shared" si="1280"/>
        <v>2060.6019999999999</v>
      </c>
      <c r="AI359" s="64">
        <f t="shared" si="1302"/>
        <v>0</v>
      </c>
      <c r="AJ359" s="64">
        <f t="shared" si="1303"/>
        <v>2060.6019999999999</v>
      </c>
      <c r="AK359" s="77"/>
      <c r="AL359" s="64">
        <f t="shared" si="1281"/>
        <v>2081.20802</v>
      </c>
      <c r="AM359" s="64">
        <f t="shared" si="1304"/>
        <v>0</v>
      </c>
      <c r="AN359" s="64">
        <f t="shared" si="1305"/>
        <v>2081.20802</v>
      </c>
      <c r="AO359" s="165" t="s">
        <v>35</v>
      </c>
    </row>
    <row r="360" spans="1:41" s="129" customFormat="1" ht="13.2" hidden="1" customHeight="1" x14ac:dyDescent="0.25">
      <c r="A360" s="137"/>
      <c r="B360" s="63">
        <f>'Expense Input'!B112</f>
        <v>410</v>
      </c>
      <c r="C360" s="63">
        <f>'Expense Input'!C112</f>
        <v>4000</v>
      </c>
      <c r="D360" s="63">
        <f>'Expense Input'!D112</f>
        <v>7600</v>
      </c>
      <c r="E360" s="63">
        <f>'Expense Input'!E112</f>
        <v>642</v>
      </c>
      <c r="F360" s="63" t="str">
        <f>'Expense Input'!F112</f>
        <v>Non-Capitalized Furniture Fixtures and Equipment</v>
      </c>
      <c r="G360" s="64">
        <f>'Expense Input'!Q112</f>
        <v>0</v>
      </c>
      <c r="H360" s="64">
        <f>'Expense Input'!R112</f>
        <v>0</v>
      </c>
      <c r="I360" s="64">
        <f>'Expense Input'!S112</f>
        <v>0</v>
      </c>
      <c r="J360" s="129" t="str">
        <f t="shared" si="901"/>
        <v/>
      </c>
      <c r="L360" s="132">
        <f>IF(E379&lt;300,G379,0)</f>
        <v>0</v>
      </c>
      <c r="M360" s="132">
        <f t="shared" si="1306"/>
        <v>0</v>
      </c>
      <c r="N360" s="130"/>
      <c r="O360" s="136"/>
      <c r="P360" s="136">
        <f>IF(B379=490,G379,0)</f>
        <v>0</v>
      </c>
      <c r="Q360" s="136">
        <f t="shared" si="1307"/>
        <v>0</v>
      </c>
      <c r="R360" s="136">
        <f t="shared" si="1308"/>
        <v>0</v>
      </c>
      <c r="S360" s="136">
        <f t="shared" si="1260"/>
        <v>0</v>
      </c>
      <c r="T360" s="136">
        <f t="shared" si="1277"/>
        <v>0</v>
      </c>
      <c r="U360" s="136">
        <f t="shared" si="1277"/>
        <v>0</v>
      </c>
      <c r="V360" s="136">
        <f t="shared" si="1309"/>
        <v>0</v>
      </c>
      <c r="W360" s="136">
        <f t="shared" si="1310"/>
        <v>0</v>
      </c>
      <c r="X360" s="130">
        <f t="shared" si="1311"/>
        <v>0</v>
      </c>
      <c r="Z360" s="64">
        <f t="shared" si="1278"/>
        <v>0</v>
      </c>
      <c r="AA360" s="64">
        <f t="shared" si="1298"/>
        <v>0</v>
      </c>
      <c r="AB360" s="64">
        <f t="shared" si="1299"/>
        <v>0</v>
      </c>
      <c r="AC360" s="77"/>
      <c r="AD360" s="64">
        <f t="shared" si="1279"/>
        <v>0</v>
      </c>
      <c r="AE360" s="64">
        <f t="shared" si="1300"/>
        <v>0</v>
      </c>
      <c r="AF360" s="64">
        <f t="shared" si="1301"/>
        <v>0</v>
      </c>
      <c r="AG360" s="77"/>
      <c r="AH360" s="64">
        <f t="shared" si="1280"/>
        <v>0</v>
      </c>
      <c r="AI360" s="64">
        <f t="shared" si="1302"/>
        <v>0</v>
      </c>
      <c r="AJ360" s="64">
        <f t="shared" si="1303"/>
        <v>0</v>
      </c>
      <c r="AK360" s="77"/>
      <c r="AL360" s="64">
        <f t="shared" si="1281"/>
        <v>0</v>
      </c>
      <c r="AM360" s="64">
        <f t="shared" si="1304"/>
        <v>0</v>
      </c>
      <c r="AN360" s="64">
        <f t="shared" si="1305"/>
        <v>0</v>
      </c>
      <c r="AO360" s="165" t="s">
        <v>35</v>
      </c>
    </row>
    <row r="361" spans="1:41" s="129" customFormat="1" ht="13.2" hidden="1" customHeight="1" x14ac:dyDescent="0.25">
      <c r="A361" s="137"/>
      <c r="B361" s="63">
        <f>'Expense Input'!B113</f>
        <v>410</v>
      </c>
      <c r="C361" s="63">
        <f>'Expense Input'!C113</f>
        <v>4000</v>
      </c>
      <c r="D361" s="63">
        <f>'Expense Input'!D113</f>
        <v>7600</v>
      </c>
      <c r="E361" s="63">
        <f>'Expense Input'!E113</f>
        <v>643</v>
      </c>
      <c r="F361" s="63" t="str">
        <f>'Expense Input'!F113</f>
        <v>Capitalized Computer Hardware</v>
      </c>
      <c r="G361" s="64">
        <f>'Expense Input'!Q113</f>
        <v>0</v>
      </c>
      <c r="H361" s="64">
        <f>'Expense Input'!R113</f>
        <v>0</v>
      </c>
      <c r="I361" s="64">
        <f>'Expense Input'!S113</f>
        <v>0</v>
      </c>
      <c r="J361" s="129" t="str">
        <f t="shared" ref="J361" si="1313">IF(G361&gt;0.49,"*","")</f>
        <v/>
      </c>
      <c r="L361" s="132">
        <f t="shared" ref="L361" si="1314">IF(E378&lt;300,G378,0)</f>
        <v>0</v>
      </c>
      <c r="M361" s="132">
        <f t="shared" si="1306"/>
        <v>0</v>
      </c>
      <c r="N361" s="130"/>
      <c r="O361" s="136"/>
      <c r="P361" s="136">
        <f t="shared" ref="P361" si="1315">IF(B378=490,G378,0)</f>
        <v>0</v>
      </c>
      <c r="Q361" s="136">
        <f t="shared" si="1307"/>
        <v>0</v>
      </c>
      <c r="R361" s="136">
        <f t="shared" si="1308"/>
        <v>0</v>
      </c>
      <c r="S361" s="136">
        <f t="shared" si="1260"/>
        <v>0</v>
      </c>
      <c r="T361" s="136">
        <f t="shared" si="1277"/>
        <v>0</v>
      </c>
      <c r="U361" s="136">
        <f t="shared" si="1277"/>
        <v>0</v>
      </c>
      <c r="V361" s="136">
        <f t="shared" si="1309"/>
        <v>0</v>
      </c>
      <c r="W361" s="136">
        <f t="shared" si="1310"/>
        <v>0</v>
      </c>
      <c r="X361" s="130">
        <f t="shared" si="1311"/>
        <v>0</v>
      </c>
      <c r="Z361" s="64">
        <f t="shared" si="1278"/>
        <v>0</v>
      </c>
      <c r="AA361" s="64">
        <f t="shared" si="1298"/>
        <v>0</v>
      </c>
      <c r="AB361" s="64">
        <f t="shared" si="1299"/>
        <v>0</v>
      </c>
      <c r="AC361" s="77"/>
      <c r="AD361" s="64">
        <f t="shared" si="1279"/>
        <v>0</v>
      </c>
      <c r="AE361" s="64">
        <f t="shared" si="1300"/>
        <v>0</v>
      </c>
      <c r="AF361" s="64">
        <f t="shared" si="1301"/>
        <v>0</v>
      </c>
      <c r="AG361" s="77"/>
      <c r="AH361" s="64">
        <f t="shared" si="1280"/>
        <v>0</v>
      </c>
      <c r="AI361" s="64">
        <f t="shared" si="1302"/>
        <v>0</v>
      </c>
      <c r="AJ361" s="64">
        <f t="shared" si="1303"/>
        <v>0</v>
      </c>
      <c r="AK361" s="77"/>
      <c r="AL361" s="64">
        <f t="shared" si="1281"/>
        <v>0</v>
      </c>
      <c r="AM361" s="64">
        <f t="shared" si="1304"/>
        <v>0</v>
      </c>
      <c r="AN361" s="64">
        <f t="shared" si="1305"/>
        <v>0</v>
      </c>
      <c r="AO361" s="165" t="s">
        <v>35</v>
      </c>
    </row>
    <row r="362" spans="1:41" s="129" customFormat="1" ht="13.2" hidden="1" customHeight="1" x14ac:dyDescent="0.25">
      <c r="A362" s="137"/>
      <c r="B362" s="63">
        <f>'Expense Input'!B114</f>
        <v>410</v>
      </c>
      <c r="C362" s="63">
        <f>'Expense Input'!C114</f>
        <v>4000</v>
      </c>
      <c r="D362" s="63">
        <f>'Expense Input'!D114</f>
        <v>7600</v>
      </c>
      <c r="E362" s="63">
        <f>'Expense Input'!E114</f>
        <v>644</v>
      </c>
      <c r="F362" s="63" t="str">
        <f>'Expense Input'!F114</f>
        <v>Noncapitalized Computer Hardware</v>
      </c>
      <c r="G362" s="64">
        <f>'Expense Input'!Q114</f>
        <v>0</v>
      </c>
      <c r="H362" s="64">
        <f>'Expense Input'!R114</f>
        <v>0</v>
      </c>
      <c r="I362" s="64">
        <f>'Expense Input'!S114</f>
        <v>0</v>
      </c>
      <c r="J362" s="129" t="str">
        <f t="shared" si="901"/>
        <v/>
      </c>
      <c r="L362" s="132">
        <f t="shared" ref="L362" si="1316">IF(E379&lt;300,G379,0)</f>
        <v>0</v>
      </c>
      <c r="M362" s="132">
        <f t="shared" ref="M362:M363" si="1317">IF(E362&gt;299,G362,0)</f>
        <v>0</v>
      </c>
      <c r="N362" s="130"/>
      <c r="O362" s="136"/>
      <c r="P362" s="136">
        <f t="shared" ref="P362" si="1318">IF(B379=490,G379,0)</f>
        <v>0</v>
      </c>
      <c r="Q362" s="136">
        <f t="shared" ref="Q362:Q363" si="1319">IF(B362=410,H362,0)</f>
        <v>0</v>
      </c>
      <c r="R362" s="136">
        <f t="shared" ref="R362:R363" si="1320">IF(B362=432,H362,0)</f>
        <v>0</v>
      </c>
      <c r="S362" s="136">
        <f t="shared" ref="S362:S363" si="1321">IF(B362=432,I362,0)</f>
        <v>0</v>
      </c>
      <c r="T362" s="136">
        <f t="shared" si="1277"/>
        <v>0</v>
      </c>
      <c r="U362" s="136">
        <f t="shared" si="1277"/>
        <v>0</v>
      </c>
      <c r="V362" s="136">
        <f t="shared" ref="V362:V363" si="1322">IF(B362=360,I362,0)</f>
        <v>0</v>
      </c>
      <c r="W362" s="136">
        <f t="shared" ref="W362:W363" si="1323">IF(B362=410,I362,0)</f>
        <v>0</v>
      </c>
      <c r="X362" s="130">
        <f t="shared" ref="X362:X363" si="1324">+W362+Q362-O362</f>
        <v>0</v>
      </c>
      <c r="Z362" s="64">
        <f t="shared" si="1278"/>
        <v>0</v>
      </c>
      <c r="AA362" s="64">
        <f t="shared" si="1298"/>
        <v>0</v>
      </c>
      <c r="AB362" s="64">
        <f t="shared" si="1299"/>
        <v>0</v>
      </c>
      <c r="AC362" s="77"/>
      <c r="AD362" s="64">
        <f t="shared" si="1279"/>
        <v>0</v>
      </c>
      <c r="AE362" s="64">
        <f t="shared" si="1300"/>
        <v>0</v>
      </c>
      <c r="AF362" s="64">
        <f t="shared" si="1301"/>
        <v>0</v>
      </c>
      <c r="AG362" s="77"/>
      <c r="AH362" s="64">
        <f t="shared" si="1280"/>
        <v>0</v>
      </c>
      <c r="AI362" s="64">
        <f t="shared" si="1302"/>
        <v>0</v>
      </c>
      <c r="AJ362" s="64">
        <f t="shared" si="1303"/>
        <v>0</v>
      </c>
      <c r="AK362" s="77"/>
      <c r="AL362" s="64">
        <f t="shared" si="1281"/>
        <v>0</v>
      </c>
      <c r="AM362" s="64">
        <f t="shared" si="1304"/>
        <v>0</v>
      </c>
      <c r="AN362" s="64">
        <f t="shared" si="1305"/>
        <v>0</v>
      </c>
      <c r="AO362" s="165" t="s">
        <v>35</v>
      </c>
    </row>
    <row r="363" spans="1:41" s="129" customFormat="1" ht="13.2" hidden="1" customHeight="1" x14ac:dyDescent="0.25">
      <c r="A363" s="137"/>
      <c r="B363" s="63">
        <f>'Expense Input'!B115</f>
        <v>410</v>
      </c>
      <c r="C363" s="63">
        <f>'Expense Input'!C115</f>
        <v>4000</v>
      </c>
      <c r="D363" s="63">
        <f>'Expense Input'!D115</f>
        <v>7600</v>
      </c>
      <c r="E363" s="63">
        <f>'Expense Input'!E115</f>
        <v>652</v>
      </c>
      <c r="F363" s="63" t="str">
        <f>'Expense Input'!F115</f>
        <v>Other Motor Vehicles</v>
      </c>
      <c r="G363" s="64">
        <f>'Expense Input'!Q115</f>
        <v>0</v>
      </c>
      <c r="H363" s="64">
        <f>'Expense Input'!R115</f>
        <v>0</v>
      </c>
      <c r="I363" s="64">
        <f>'Expense Input'!S115</f>
        <v>0</v>
      </c>
      <c r="J363" s="129" t="str">
        <f t="shared" si="901"/>
        <v/>
      </c>
      <c r="L363" s="132">
        <f t="shared" ref="L363" si="1325">IF(E379&lt;300,G379,0)</f>
        <v>0</v>
      </c>
      <c r="M363" s="132">
        <f t="shared" si="1317"/>
        <v>0</v>
      </c>
      <c r="N363" s="130"/>
      <c r="O363" s="136"/>
      <c r="P363" s="136">
        <f t="shared" ref="P363" si="1326">IF(B379=490,G379,0)</f>
        <v>0</v>
      </c>
      <c r="Q363" s="136">
        <f t="shared" si="1319"/>
        <v>0</v>
      </c>
      <c r="R363" s="136">
        <f t="shared" si="1320"/>
        <v>0</v>
      </c>
      <c r="S363" s="136">
        <f t="shared" si="1321"/>
        <v>0</v>
      </c>
      <c r="T363" s="136">
        <f t="shared" si="1277"/>
        <v>0</v>
      </c>
      <c r="U363" s="136">
        <f t="shared" si="1277"/>
        <v>0</v>
      </c>
      <c r="V363" s="136">
        <f t="shared" si="1322"/>
        <v>0</v>
      </c>
      <c r="W363" s="136">
        <f t="shared" si="1323"/>
        <v>0</v>
      </c>
      <c r="X363" s="130">
        <f t="shared" si="1324"/>
        <v>0</v>
      </c>
      <c r="Z363" s="64">
        <f t="shared" si="1278"/>
        <v>0</v>
      </c>
      <c r="AA363" s="64">
        <f t="shared" si="1298"/>
        <v>0</v>
      </c>
      <c r="AB363" s="64">
        <f t="shared" si="1299"/>
        <v>0</v>
      </c>
      <c r="AC363" s="77"/>
      <c r="AD363" s="64">
        <f t="shared" si="1279"/>
        <v>0</v>
      </c>
      <c r="AE363" s="64">
        <f t="shared" si="1300"/>
        <v>0</v>
      </c>
      <c r="AF363" s="64">
        <f t="shared" si="1301"/>
        <v>0</v>
      </c>
      <c r="AG363" s="77"/>
      <c r="AH363" s="64">
        <f t="shared" si="1280"/>
        <v>0</v>
      </c>
      <c r="AI363" s="64">
        <f t="shared" si="1302"/>
        <v>0</v>
      </c>
      <c r="AJ363" s="64">
        <f t="shared" si="1303"/>
        <v>0</v>
      </c>
      <c r="AK363" s="77"/>
      <c r="AL363" s="64">
        <f t="shared" si="1281"/>
        <v>0</v>
      </c>
      <c r="AM363" s="64">
        <f t="shared" si="1304"/>
        <v>0</v>
      </c>
      <c r="AN363" s="64">
        <f t="shared" si="1305"/>
        <v>0</v>
      </c>
      <c r="AO363" s="165" t="s">
        <v>35</v>
      </c>
    </row>
    <row r="364" spans="1:41" s="129" customFormat="1" ht="13.2" customHeight="1" x14ac:dyDescent="0.25">
      <c r="A364" s="137"/>
      <c r="B364" s="63">
        <f>'Expense Input'!B116</f>
        <v>410</v>
      </c>
      <c r="C364" s="63">
        <f>'Expense Input'!C116</f>
        <v>4000</v>
      </c>
      <c r="D364" s="63">
        <f>'Expense Input'!D116</f>
        <v>7600</v>
      </c>
      <c r="E364" s="63">
        <f>'Expense Input'!E116</f>
        <v>730</v>
      </c>
      <c r="F364" s="63" t="str">
        <f>'Expense Input'!F116</f>
        <v>Dues and Fees</v>
      </c>
      <c r="G364" s="64">
        <f>'Expense Input'!Q116</f>
        <v>1065.55</v>
      </c>
      <c r="H364" s="64">
        <f>'Expense Input'!R116</f>
        <v>0</v>
      </c>
      <c r="I364" s="64">
        <f>'Expense Input'!S116</f>
        <v>1065.55</v>
      </c>
      <c r="J364" s="129" t="str">
        <f t="shared" ref="J364" si="1327">IF(G364&gt;0.49,"*","")</f>
        <v>*</v>
      </c>
      <c r="L364" s="132">
        <f t="shared" ref="L364" si="1328">IF(E380&lt;300,G380,0)</f>
        <v>0</v>
      </c>
      <c r="M364" s="132">
        <f t="shared" si="1306"/>
        <v>1065.55</v>
      </c>
      <c r="N364" s="130"/>
      <c r="O364" s="136"/>
      <c r="P364" s="136">
        <f t="shared" ref="P364" si="1329">IF(B380=490,G380,0)</f>
        <v>0</v>
      </c>
      <c r="Q364" s="136">
        <f t="shared" si="1307"/>
        <v>0</v>
      </c>
      <c r="R364" s="136">
        <f t="shared" si="1308"/>
        <v>0</v>
      </c>
      <c r="S364" s="136">
        <f t="shared" si="1260"/>
        <v>0</v>
      </c>
      <c r="T364" s="136">
        <f t="shared" si="1277"/>
        <v>0</v>
      </c>
      <c r="U364" s="136">
        <f t="shared" si="1277"/>
        <v>0</v>
      </c>
      <c r="V364" s="136">
        <f t="shared" si="1309"/>
        <v>0</v>
      </c>
      <c r="W364" s="136">
        <f t="shared" si="1310"/>
        <v>1065.55</v>
      </c>
      <c r="X364" s="130">
        <f t="shared" si="1311"/>
        <v>1065.55</v>
      </c>
      <c r="Z364" s="64">
        <f t="shared" si="1278"/>
        <v>1076.2055</v>
      </c>
      <c r="AA364" s="64">
        <f t="shared" si="1298"/>
        <v>0</v>
      </c>
      <c r="AB364" s="64">
        <f t="shared" si="1299"/>
        <v>1076.2055</v>
      </c>
      <c r="AC364" s="77"/>
      <c r="AD364" s="64">
        <f t="shared" si="1279"/>
        <v>1086.9675549999999</v>
      </c>
      <c r="AE364" s="64">
        <f t="shared" si="1300"/>
        <v>0</v>
      </c>
      <c r="AF364" s="64">
        <f t="shared" si="1301"/>
        <v>1086.9675549999999</v>
      </c>
      <c r="AG364" s="77"/>
      <c r="AH364" s="64">
        <f t="shared" si="1280"/>
        <v>1097.83723055</v>
      </c>
      <c r="AI364" s="64">
        <f t="shared" si="1302"/>
        <v>0</v>
      </c>
      <c r="AJ364" s="64">
        <f t="shared" si="1303"/>
        <v>1097.83723055</v>
      </c>
      <c r="AK364" s="77"/>
      <c r="AL364" s="64">
        <f t="shared" si="1281"/>
        <v>1108.8156028554999</v>
      </c>
      <c r="AM364" s="64">
        <f t="shared" si="1304"/>
        <v>0</v>
      </c>
      <c r="AN364" s="64">
        <f t="shared" si="1305"/>
        <v>1108.8156028554999</v>
      </c>
      <c r="AO364" s="165" t="s">
        <v>35</v>
      </c>
    </row>
    <row r="365" spans="1:41" x14ac:dyDescent="0.25">
      <c r="A365" s="131"/>
      <c r="B365" s="63"/>
      <c r="C365" s="63"/>
      <c r="D365" s="63"/>
      <c r="E365" s="63"/>
      <c r="F365" s="63"/>
      <c r="G365" s="65"/>
      <c r="H365" s="65"/>
      <c r="I365" s="65"/>
      <c r="J365" s="129" t="str">
        <f>IF(J366="*","*","")</f>
        <v>*</v>
      </c>
      <c r="L365" s="132">
        <f t="shared" si="1150"/>
        <v>0</v>
      </c>
      <c r="M365" s="132">
        <f t="shared" si="1257"/>
        <v>0</v>
      </c>
      <c r="N365" s="130"/>
      <c r="O365" s="136"/>
      <c r="P365" s="136">
        <f>IF(B365=432,G365,0)</f>
        <v>0</v>
      </c>
      <c r="Q365" s="136">
        <f t="shared" si="1283"/>
        <v>0</v>
      </c>
      <c r="R365" s="136">
        <f t="shared" si="1259"/>
        <v>0</v>
      </c>
      <c r="S365" s="136">
        <f t="shared" si="1260"/>
        <v>0</v>
      </c>
      <c r="T365" s="136">
        <f t="shared" si="1277"/>
        <v>0</v>
      </c>
      <c r="U365" s="136">
        <f t="shared" si="1277"/>
        <v>0</v>
      </c>
      <c r="V365" s="136">
        <f t="shared" si="1261"/>
        <v>0</v>
      </c>
      <c r="W365" s="136">
        <f t="shared" si="1262"/>
        <v>0</v>
      </c>
      <c r="X365" s="130">
        <f t="shared" si="1227"/>
        <v>0</v>
      </c>
      <c r="Z365" s="65"/>
      <c r="AA365" s="65"/>
      <c r="AB365" s="65"/>
      <c r="AD365" s="65"/>
      <c r="AE365" s="65"/>
      <c r="AF365" s="65"/>
      <c r="AH365" s="65"/>
      <c r="AI365" s="65"/>
      <c r="AJ365" s="65"/>
      <c r="AL365" s="65"/>
      <c r="AM365" s="65"/>
      <c r="AN365" s="65"/>
      <c r="AO365" s="165"/>
    </row>
    <row r="366" spans="1:41" x14ac:dyDescent="0.25">
      <c r="A366" s="131"/>
      <c r="F366" s="85" t="s">
        <v>83</v>
      </c>
      <c r="G366" s="86">
        <f>SUM(G338:G365)</f>
        <v>276618.84610656335</v>
      </c>
      <c r="H366" s="86">
        <f>SUM(H338:H365)</f>
        <v>0</v>
      </c>
      <c r="I366" s="86">
        <f>SUM(I338:I365)</f>
        <v>276618.84610656335</v>
      </c>
      <c r="J366" s="129" t="str">
        <f>IF(G366&gt;0.49,"*","")</f>
        <v>*</v>
      </c>
      <c r="L366" s="86">
        <f t="shared" ref="L366:X366" si="1330">SUM(L338:L365)</f>
        <v>160217.26199999999</v>
      </c>
      <c r="M366" s="86">
        <f t="shared" si="1330"/>
        <v>116401.58410656333</v>
      </c>
      <c r="N366" s="86">
        <f t="shared" si="1330"/>
        <v>0</v>
      </c>
      <c r="O366" s="86">
        <f t="shared" si="1330"/>
        <v>0</v>
      </c>
      <c r="P366" s="86">
        <f t="shared" si="1330"/>
        <v>0</v>
      </c>
      <c r="Q366" s="86">
        <f t="shared" si="1330"/>
        <v>0</v>
      </c>
      <c r="R366" s="86">
        <f t="shared" si="1330"/>
        <v>0</v>
      </c>
      <c r="S366" s="86">
        <f t="shared" ref="S366:V366" si="1331">SUM(S338:S365)</f>
        <v>0</v>
      </c>
      <c r="T366" s="86">
        <f t="shared" si="1331"/>
        <v>0</v>
      </c>
      <c r="U366" s="86">
        <f t="shared" si="1331"/>
        <v>0</v>
      </c>
      <c r="V366" s="86">
        <f t="shared" si="1331"/>
        <v>0</v>
      </c>
      <c r="W366" s="86">
        <f t="shared" si="1330"/>
        <v>276618.84610656335</v>
      </c>
      <c r="X366" s="86">
        <f t="shared" si="1330"/>
        <v>276618.84610656335</v>
      </c>
      <c r="Z366" s="86">
        <f>SUM(Z338:Z365)</f>
        <v>318004.8774905795</v>
      </c>
      <c r="AA366" s="86">
        <f>SUM(AA338:AA365)</f>
        <v>0</v>
      </c>
      <c r="AB366" s="86">
        <f>SUM(AB338:AB365)</f>
        <v>318004.8774905795</v>
      </c>
      <c r="AD366" s="86">
        <f>SUM(AD338:AD365)</f>
        <v>321184.92626548524</v>
      </c>
      <c r="AE366" s="86">
        <f>SUM(AE338:AE365)</f>
        <v>0</v>
      </c>
      <c r="AF366" s="86">
        <f>SUM(AF338:AF365)</f>
        <v>321184.92626548524</v>
      </c>
      <c r="AH366" s="86">
        <f>SUM(AH338:AH365)</f>
        <v>335847.39092581481</v>
      </c>
      <c r="AI366" s="86">
        <f>SUM(AI338:AI365)</f>
        <v>0</v>
      </c>
      <c r="AJ366" s="86">
        <f>SUM(AJ338:AJ365)</f>
        <v>335847.39092581481</v>
      </c>
      <c r="AL366" s="86">
        <f>SUM(AL338:AL365)</f>
        <v>339205.86483507295</v>
      </c>
      <c r="AM366" s="86">
        <f>SUM(AM338:AM365)</f>
        <v>0</v>
      </c>
      <c r="AN366" s="86">
        <f>SUM(AN338:AN365)</f>
        <v>339205.86483507295</v>
      </c>
      <c r="AO366" s="165"/>
    </row>
    <row r="367" spans="1:41" x14ac:dyDescent="0.25">
      <c r="A367" s="131"/>
      <c r="B367" s="63"/>
      <c r="C367" s="63"/>
      <c r="D367" s="63"/>
      <c r="E367" s="63"/>
      <c r="F367" s="63"/>
      <c r="G367" s="65"/>
      <c r="H367" s="65"/>
      <c r="I367" s="65"/>
      <c r="J367" s="129" t="str">
        <f>IF(J366="*","*","")</f>
        <v>*</v>
      </c>
      <c r="L367" s="132">
        <f t="shared" si="1150"/>
        <v>0</v>
      </c>
      <c r="M367" s="132">
        <f t="shared" ref="M367:M383" si="1332">IF(E367&gt;299,G367,0)</f>
        <v>0</v>
      </c>
      <c r="N367" s="130"/>
      <c r="O367" s="136"/>
      <c r="P367" s="136">
        <f>IF(B367=432,G367,0)</f>
        <v>0</v>
      </c>
      <c r="Q367" s="136">
        <f t="shared" ref="Q367:Q372" si="1333">IF(B367=410,H367,0)</f>
        <v>0</v>
      </c>
      <c r="R367" s="136">
        <f t="shared" ref="R367:R372" si="1334">IF(B367=432,H367,0)</f>
        <v>0</v>
      </c>
      <c r="S367" s="136">
        <f t="shared" ref="S367:S372" si="1335">IF(B367=432,I367,0)</f>
        <v>0</v>
      </c>
      <c r="T367" s="136">
        <f t="shared" si="1277"/>
        <v>0</v>
      </c>
      <c r="U367" s="136">
        <f t="shared" si="1277"/>
        <v>0</v>
      </c>
      <c r="V367" s="136">
        <f t="shared" ref="V367:V372" si="1336">IF(B367=360,I367,0)</f>
        <v>0</v>
      </c>
      <c r="W367" s="136">
        <f t="shared" ref="W367:W372" si="1337">IF(B367=410,I367,0)</f>
        <v>0</v>
      </c>
      <c r="X367" s="130">
        <f t="shared" si="1227"/>
        <v>0</v>
      </c>
      <c r="Z367" s="65"/>
      <c r="AA367" s="65"/>
      <c r="AB367" s="65"/>
      <c r="AD367" s="65"/>
      <c r="AE367" s="65"/>
      <c r="AF367" s="65"/>
      <c r="AH367" s="65"/>
      <c r="AI367" s="65"/>
      <c r="AJ367" s="65"/>
      <c r="AL367" s="65"/>
      <c r="AM367" s="65"/>
      <c r="AN367" s="65"/>
      <c r="AO367" s="165"/>
    </row>
    <row r="368" spans="1:41" ht="13.2" hidden="1" customHeight="1" x14ac:dyDescent="0.25">
      <c r="A368" s="131"/>
      <c r="B368" s="63"/>
      <c r="C368" s="63"/>
      <c r="D368" s="63"/>
      <c r="E368" s="63"/>
      <c r="F368" s="63"/>
      <c r="G368" s="64"/>
      <c r="H368" s="64"/>
      <c r="I368" s="64"/>
      <c r="J368" s="129" t="str">
        <f t="shared" ref="J368:J370" si="1338">IF(G368&gt;0.49,"*","")</f>
        <v/>
      </c>
      <c r="L368" s="132">
        <f t="shared" ref="L368:L372" si="1339">IF(E368&lt;300,G368,0)</f>
        <v>0</v>
      </c>
      <c r="M368" s="132">
        <f t="shared" si="1332"/>
        <v>0</v>
      </c>
      <c r="N368" s="130"/>
      <c r="O368" s="136"/>
      <c r="P368" s="136">
        <f>IF(B368=490,G368,0)</f>
        <v>0</v>
      </c>
      <c r="Q368" s="136">
        <f t="shared" si="1333"/>
        <v>0</v>
      </c>
      <c r="R368" s="136">
        <f t="shared" si="1334"/>
        <v>0</v>
      </c>
      <c r="S368" s="136">
        <f t="shared" si="1335"/>
        <v>0</v>
      </c>
      <c r="T368" s="136">
        <f t="shared" si="1277"/>
        <v>0</v>
      </c>
      <c r="U368" s="136">
        <f t="shared" si="1277"/>
        <v>0</v>
      </c>
      <c r="V368" s="136">
        <f t="shared" si="1336"/>
        <v>0</v>
      </c>
      <c r="W368" s="136">
        <f t="shared" si="1337"/>
        <v>0</v>
      </c>
      <c r="X368" s="130">
        <f t="shared" ref="X368:X372" si="1340">+W368+Q368-O368</f>
        <v>0</v>
      </c>
      <c r="Z368" s="64"/>
      <c r="AA368" s="64"/>
      <c r="AB368" s="64"/>
      <c r="AD368" s="64"/>
      <c r="AE368" s="64"/>
      <c r="AF368" s="64"/>
      <c r="AH368" s="64"/>
      <c r="AI368" s="64"/>
      <c r="AJ368" s="64"/>
      <c r="AL368" s="64"/>
      <c r="AM368" s="64"/>
      <c r="AN368" s="64"/>
      <c r="AO368" s="165"/>
    </row>
    <row r="369" spans="1:41" ht="13.2" hidden="1" customHeight="1" x14ac:dyDescent="0.25">
      <c r="A369" s="131"/>
      <c r="B369" s="63"/>
      <c r="C369" s="63"/>
      <c r="D369" s="63"/>
      <c r="E369" s="63"/>
      <c r="F369" s="63"/>
      <c r="G369" s="64"/>
      <c r="H369" s="64"/>
      <c r="I369" s="64"/>
      <c r="J369" s="129" t="str">
        <f t="shared" si="1338"/>
        <v/>
      </c>
      <c r="L369" s="132">
        <f t="shared" si="1339"/>
        <v>0</v>
      </c>
      <c r="M369" s="132">
        <f t="shared" si="1332"/>
        <v>0</v>
      </c>
      <c r="N369" s="130"/>
      <c r="O369" s="136"/>
      <c r="P369" s="136">
        <f>IF(B369=490,G369,0)</f>
        <v>0</v>
      </c>
      <c r="Q369" s="136">
        <f t="shared" si="1333"/>
        <v>0</v>
      </c>
      <c r="R369" s="136">
        <f t="shared" si="1334"/>
        <v>0</v>
      </c>
      <c r="S369" s="136">
        <f t="shared" si="1335"/>
        <v>0</v>
      </c>
      <c r="T369" s="136">
        <f t="shared" si="1277"/>
        <v>0</v>
      </c>
      <c r="U369" s="136">
        <f t="shared" si="1277"/>
        <v>0</v>
      </c>
      <c r="V369" s="136">
        <f t="shared" si="1336"/>
        <v>0</v>
      </c>
      <c r="W369" s="136">
        <f t="shared" si="1337"/>
        <v>0</v>
      </c>
      <c r="X369" s="130">
        <f t="shared" si="1340"/>
        <v>0</v>
      </c>
      <c r="Z369" s="64"/>
      <c r="AA369" s="64"/>
      <c r="AB369" s="64"/>
      <c r="AD369" s="64"/>
      <c r="AE369" s="64"/>
      <c r="AF369" s="64"/>
      <c r="AH369" s="64"/>
      <c r="AI369" s="64"/>
      <c r="AJ369" s="64"/>
      <c r="AL369" s="64"/>
      <c r="AM369" s="64"/>
      <c r="AN369" s="64"/>
      <c r="AO369" s="165"/>
    </row>
    <row r="370" spans="1:41" ht="13.2" hidden="1" customHeight="1" x14ac:dyDescent="0.25">
      <c r="A370" s="100"/>
      <c r="B370" s="99"/>
      <c r="C370" s="99"/>
      <c r="D370" s="99"/>
      <c r="E370" s="99"/>
      <c r="F370" s="99"/>
      <c r="G370" s="140"/>
      <c r="H370" s="140"/>
      <c r="I370" s="140"/>
      <c r="J370" s="129" t="str">
        <f t="shared" si="1338"/>
        <v/>
      </c>
      <c r="L370" s="132">
        <f t="shared" si="1339"/>
        <v>0</v>
      </c>
      <c r="M370" s="132">
        <f t="shared" si="1332"/>
        <v>0</v>
      </c>
      <c r="N370" s="130"/>
      <c r="O370" s="136"/>
      <c r="P370" s="136">
        <f>IF(B370=490,G370,0)</f>
        <v>0</v>
      </c>
      <c r="Q370" s="136">
        <f t="shared" si="1333"/>
        <v>0</v>
      </c>
      <c r="R370" s="136">
        <f t="shared" si="1334"/>
        <v>0</v>
      </c>
      <c r="S370" s="136">
        <f t="shared" si="1335"/>
        <v>0</v>
      </c>
      <c r="T370" s="136">
        <f t="shared" si="1277"/>
        <v>0</v>
      </c>
      <c r="U370" s="136">
        <f t="shared" si="1277"/>
        <v>0</v>
      </c>
      <c r="V370" s="136">
        <f t="shared" si="1336"/>
        <v>0</v>
      </c>
      <c r="W370" s="136">
        <f t="shared" si="1337"/>
        <v>0</v>
      </c>
      <c r="X370" s="130">
        <f t="shared" si="1340"/>
        <v>0</v>
      </c>
      <c r="Z370" s="140"/>
      <c r="AA370" s="140"/>
      <c r="AB370" s="140"/>
      <c r="AD370" s="140"/>
      <c r="AE370" s="140"/>
      <c r="AF370" s="140"/>
      <c r="AH370" s="140"/>
      <c r="AI370" s="140"/>
      <c r="AJ370" s="140"/>
      <c r="AL370" s="140"/>
      <c r="AM370" s="140"/>
      <c r="AN370" s="140"/>
      <c r="AO370" s="165"/>
    </row>
    <row r="371" spans="1:41" s="129" customFormat="1" ht="13.2" hidden="1" customHeight="1" x14ac:dyDescent="0.25">
      <c r="A371" s="100"/>
      <c r="B371" s="99"/>
      <c r="C371" s="99"/>
      <c r="D371" s="99"/>
      <c r="E371" s="99"/>
      <c r="F371" s="99"/>
      <c r="G371" s="140"/>
      <c r="H371" s="140"/>
      <c r="I371" s="140"/>
      <c r="J371" s="129" t="str">
        <f>IF(G371&gt;0.49,"*","")</f>
        <v/>
      </c>
      <c r="L371" s="132">
        <f t="shared" ref="L371" si="1341">IF(E371&lt;300,G371,0)</f>
        <v>0</v>
      </c>
      <c r="M371" s="132">
        <f t="shared" ref="M371" si="1342">IF(E371&gt;299,G371,0)</f>
        <v>0</v>
      </c>
      <c r="N371" s="130"/>
      <c r="O371" s="136"/>
      <c r="P371" s="136">
        <f>IF(B371=490,G371,0)</f>
        <v>0</v>
      </c>
      <c r="Q371" s="136">
        <f t="shared" si="1333"/>
        <v>0</v>
      </c>
      <c r="R371" s="136">
        <f t="shared" si="1334"/>
        <v>0</v>
      </c>
      <c r="S371" s="136">
        <f t="shared" si="1335"/>
        <v>0</v>
      </c>
      <c r="T371" s="136">
        <f t="shared" si="1277"/>
        <v>0</v>
      </c>
      <c r="U371" s="136">
        <f t="shared" si="1277"/>
        <v>0</v>
      </c>
      <c r="V371" s="136">
        <f t="shared" si="1336"/>
        <v>0</v>
      </c>
      <c r="W371" s="136">
        <f t="shared" si="1337"/>
        <v>0</v>
      </c>
      <c r="X371" s="130">
        <f t="shared" ref="X371" si="1343">+W371+Q371-O371</f>
        <v>0</v>
      </c>
      <c r="Z371" s="140"/>
      <c r="AA371" s="140"/>
      <c r="AB371" s="140"/>
      <c r="AD371" s="140"/>
      <c r="AE371" s="140"/>
      <c r="AF371" s="140"/>
      <c r="AH371" s="140"/>
      <c r="AI371" s="140"/>
      <c r="AJ371" s="140"/>
      <c r="AL371" s="140"/>
      <c r="AM371" s="140"/>
      <c r="AN371" s="140"/>
      <c r="AO371" s="165"/>
    </row>
    <row r="372" spans="1:41" ht="13.2" hidden="1" customHeight="1" x14ac:dyDescent="0.25">
      <c r="A372" s="131"/>
      <c r="B372" s="63"/>
      <c r="C372" s="63"/>
      <c r="D372" s="63"/>
      <c r="E372" s="63"/>
      <c r="F372" s="63"/>
      <c r="G372" s="65"/>
      <c r="H372" s="65"/>
      <c r="I372" s="65"/>
      <c r="J372" s="129" t="str">
        <f>IF(J373="*","*","")</f>
        <v/>
      </c>
      <c r="L372" s="132">
        <f t="shared" si="1339"/>
        <v>0</v>
      </c>
      <c r="M372" s="132">
        <f t="shared" si="1332"/>
        <v>0</v>
      </c>
      <c r="N372" s="130"/>
      <c r="O372" s="136"/>
      <c r="P372" s="136">
        <f>IF(B372=432,G372,0)</f>
        <v>0</v>
      </c>
      <c r="Q372" s="136">
        <f t="shared" si="1333"/>
        <v>0</v>
      </c>
      <c r="R372" s="136">
        <f t="shared" si="1334"/>
        <v>0</v>
      </c>
      <c r="S372" s="136">
        <f t="shared" si="1335"/>
        <v>0</v>
      </c>
      <c r="T372" s="136">
        <f t="shared" si="1277"/>
        <v>0</v>
      </c>
      <c r="U372" s="136">
        <f t="shared" si="1277"/>
        <v>0</v>
      </c>
      <c r="V372" s="136">
        <f t="shared" si="1336"/>
        <v>0</v>
      </c>
      <c r="W372" s="136">
        <f t="shared" si="1337"/>
        <v>0</v>
      </c>
      <c r="X372" s="130">
        <f t="shared" si="1340"/>
        <v>0</v>
      </c>
      <c r="Z372" s="65"/>
      <c r="AA372" s="65"/>
      <c r="AB372" s="65"/>
      <c r="AD372" s="65"/>
      <c r="AE372" s="65"/>
      <c r="AF372" s="65"/>
      <c r="AH372" s="65"/>
      <c r="AI372" s="65"/>
      <c r="AJ372" s="65"/>
      <c r="AL372" s="65"/>
      <c r="AM372" s="65"/>
      <c r="AN372" s="65"/>
      <c r="AO372" s="165"/>
    </row>
    <row r="373" spans="1:41" ht="13.2" hidden="1" customHeight="1" x14ac:dyDescent="0.25">
      <c r="A373" s="131"/>
      <c r="F373" s="85" t="s">
        <v>84</v>
      </c>
      <c r="G373" s="86">
        <f t="shared" ref="G373:H373" si="1344">SUM(G369:G372)</f>
        <v>0</v>
      </c>
      <c r="H373" s="86">
        <f t="shared" si="1344"/>
        <v>0</v>
      </c>
      <c r="I373" s="86">
        <f>SUM(I369:I372)</f>
        <v>0</v>
      </c>
      <c r="J373" s="129" t="str">
        <f>IF(G373&gt;0.49,"*","")</f>
        <v/>
      </c>
      <c r="L373" s="86">
        <f t="shared" ref="L373:X373" si="1345">SUM(L369:L372)</f>
        <v>0</v>
      </c>
      <c r="M373" s="86">
        <f t="shared" si="1345"/>
        <v>0</v>
      </c>
      <c r="N373" s="86">
        <f t="shared" si="1345"/>
        <v>0</v>
      </c>
      <c r="O373" s="86">
        <f t="shared" si="1345"/>
        <v>0</v>
      </c>
      <c r="P373" s="86">
        <f t="shared" si="1345"/>
        <v>0</v>
      </c>
      <c r="Q373" s="86">
        <f t="shared" si="1345"/>
        <v>0</v>
      </c>
      <c r="R373" s="86">
        <f t="shared" si="1345"/>
        <v>0</v>
      </c>
      <c r="S373" s="86">
        <f t="shared" ref="S373:W373" si="1346">SUM(S369:S372)</f>
        <v>0</v>
      </c>
      <c r="T373" s="86">
        <f t="shared" si="1346"/>
        <v>0</v>
      </c>
      <c r="U373" s="86">
        <f t="shared" si="1346"/>
        <v>0</v>
      </c>
      <c r="V373" s="86">
        <f t="shared" si="1346"/>
        <v>0</v>
      </c>
      <c r="W373" s="86">
        <f t="shared" si="1346"/>
        <v>0</v>
      </c>
      <c r="X373" s="86">
        <f t="shared" si="1345"/>
        <v>0</v>
      </c>
      <c r="Z373" s="86">
        <f t="shared" ref="Z373:AA373" si="1347">SUM(Z369:Z372)</f>
        <v>0</v>
      </c>
      <c r="AA373" s="86">
        <f t="shared" si="1347"/>
        <v>0</v>
      </c>
      <c r="AB373" s="86">
        <f>SUM(AB369:AB372)</f>
        <v>0</v>
      </c>
      <c r="AD373" s="86">
        <f t="shared" ref="AD373:AE373" si="1348">SUM(AD369:AD372)</f>
        <v>0</v>
      </c>
      <c r="AE373" s="86">
        <f t="shared" si="1348"/>
        <v>0</v>
      </c>
      <c r="AF373" s="86">
        <f>SUM(AF369:AF372)</f>
        <v>0</v>
      </c>
      <c r="AH373" s="86">
        <f t="shared" ref="AH373:AI373" si="1349">SUM(AH369:AH372)</f>
        <v>0</v>
      </c>
      <c r="AI373" s="86">
        <f t="shared" si="1349"/>
        <v>0</v>
      </c>
      <c r="AJ373" s="86">
        <f>SUM(AJ369:AJ372)</f>
        <v>0</v>
      </c>
      <c r="AL373" s="86">
        <f t="shared" ref="AL373:AM373" si="1350">SUM(AL369:AL372)</f>
        <v>0</v>
      </c>
      <c r="AM373" s="86">
        <f t="shared" si="1350"/>
        <v>0</v>
      </c>
      <c r="AN373" s="86">
        <f>SUM(AN369:AN372)</f>
        <v>0</v>
      </c>
      <c r="AO373" s="165"/>
    </row>
    <row r="374" spans="1:41" ht="13.2" hidden="1" customHeight="1" x14ac:dyDescent="0.25">
      <c r="A374" s="131"/>
      <c r="B374" s="63"/>
      <c r="C374" s="63"/>
      <c r="D374" s="63"/>
      <c r="E374" s="63"/>
      <c r="F374" s="63"/>
      <c r="G374" s="65"/>
      <c r="H374" s="65"/>
      <c r="I374" s="65"/>
      <c r="J374" s="129" t="str">
        <f>IF(J373="*","*","")</f>
        <v/>
      </c>
      <c r="L374" s="132">
        <f t="shared" ref="L374" si="1351">IF(E374&lt;300,G374,0)</f>
        <v>0</v>
      </c>
      <c r="M374" s="132">
        <f t="shared" ref="M374" si="1352">IF(E374&gt;299,G374,0)</f>
        <v>0</v>
      </c>
      <c r="N374" s="130"/>
      <c r="O374" s="136"/>
      <c r="P374" s="136">
        <f>IF(B374=432,G374,0)</f>
        <v>0</v>
      </c>
      <c r="Q374" s="136">
        <f t="shared" ref="Q374:Q383" si="1353">IF(B374=410,H374,0)</f>
        <v>0</v>
      </c>
      <c r="R374" s="136">
        <f t="shared" ref="R374:R383" si="1354">IF(B374=432,H374,0)</f>
        <v>0</v>
      </c>
      <c r="S374" s="136">
        <f t="shared" ref="S374:S383" si="1355">IF(B374=432,I374,0)</f>
        <v>0</v>
      </c>
      <c r="T374" s="136">
        <f t="shared" si="1277"/>
        <v>0</v>
      </c>
      <c r="U374" s="136">
        <f t="shared" si="1277"/>
        <v>0</v>
      </c>
      <c r="V374" s="136">
        <f t="shared" ref="V374:V383" si="1356">IF(B374=360,I374,0)</f>
        <v>0</v>
      </c>
      <c r="W374" s="136">
        <f t="shared" ref="W374:W383" si="1357">IF(B374=410,I374,0)</f>
        <v>0</v>
      </c>
      <c r="X374" s="130">
        <f t="shared" ref="X374" si="1358">+W374+Q374-O374</f>
        <v>0</v>
      </c>
      <c r="Z374" s="65"/>
      <c r="AA374" s="65"/>
      <c r="AB374" s="65"/>
      <c r="AD374" s="65"/>
      <c r="AE374" s="65"/>
      <c r="AF374" s="65"/>
      <c r="AH374" s="65"/>
      <c r="AI374" s="65"/>
      <c r="AJ374" s="65"/>
      <c r="AL374" s="65"/>
      <c r="AM374" s="65"/>
      <c r="AN374" s="65"/>
      <c r="AO374" s="165"/>
    </row>
    <row r="375" spans="1:41" hidden="1" x14ac:dyDescent="0.25">
      <c r="A375" s="131"/>
      <c r="B375" s="63">
        <f>'Expense Input'!B117</f>
        <v>100</v>
      </c>
      <c r="C375" s="63">
        <f>'Expense Input'!C117</f>
        <v>4000</v>
      </c>
      <c r="D375" s="63">
        <f>'Expense Input'!D117</f>
        <v>7800</v>
      </c>
      <c r="E375" s="63">
        <f>'Expense Input'!E117</f>
        <v>310</v>
      </c>
      <c r="F375" s="63" t="str">
        <f>'Expense Input'!F117</f>
        <v>Transportation - Contracted Services</v>
      </c>
      <c r="G375" s="64">
        <f>'Expense Input'!Q117</f>
        <v>0</v>
      </c>
      <c r="H375" s="64">
        <f>'Expense Input'!R117</f>
        <v>0</v>
      </c>
      <c r="I375" s="64">
        <f>'Expense Input'!S117</f>
        <v>0</v>
      </c>
      <c r="J375" s="129" t="str">
        <f t="shared" ref="J375" si="1359">IF(G375&gt;0.49,"*","")</f>
        <v/>
      </c>
      <c r="L375" s="132">
        <f t="shared" si="1150"/>
        <v>0</v>
      </c>
      <c r="M375" s="132">
        <f t="shared" si="1332"/>
        <v>0</v>
      </c>
      <c r="N375" s="130"/>
      <c r="O375" s="136"/>
      <c r="P375" s="136">
        <f t="shared" ref="P375:P382" si="1360">IF(B375=490,G375,0)</f>
        <v>0</v>
      </c>
      <c r="Q375" s="136">
        <f t="shared" si="1353"/>
        <v>0</v>
      </c>
      <c r="R375" s="136">
        <f t="shared" si="1354"/>
        <v>0</v>
      </c>
      <c r="S375" s="136">
        <f t="shared" si="1355"/>
        <v>0</v>
      </c>
      <c r="T375" s="136">
        <f t="shared" si="1277"/>
        <v>0</v>
      </c>
      <c r="U375" s="136">
        <f t="shared" si="1277"/>
        <v>0</v>
      </c>
      <c r="V375" s="136">
        <f t="shared" si="1356"/>
        <v>0</v>
      </c>
      <c r="W375" s="136">
        <f t="shared" si="1357"/>
        <v>0</v>
      </c>
      <c r="X375" s="130">
        <f t="shared" si="1227"/>
        <v>0</v>
      </c>
      <c r="Z375" s="64">
        <f t="shared" ref="Z375" si="1361">AA375+AB375</f>
        <v>0</v>
      </c>
      <c r="AA375" s="64">
        <f>+H375*Inf</f>
        <v>0</v>
      </c>
      <c r="AB375" s="64">
        <f>+I375*Inf</f>
        <v>0</v>
      </c>
      <c r="AD375" s="64">
        <f t="shared" ref="AD375" si="1362">AE375+AF375</f>
        <v>0</v>
      </c>
      <c r="AE375" s="64">
        <f>+AA375*Inf</f>
        <v>0</v>
      </c>
      <c r="AF375" s="64">
        <f>+AB375*Inf</f>
        <v>0</v>
      </c>
      <c r="AH375" s="64">
        <f t="shared" ref="AH375" si="1363">AI375+AJ375</f>
        <v>0</v>
      </c>
      <c r="AI375" s="64">
        <f>+AE375*Inf</f>
        <v>0</v>
      </c>
      <c r="AJ375" s="64">
        <f>+AF375*Inf</f>
        <v>0</v>
      </c>
      <c r="AL375" s="64">
        <f t="shared" ref="AL375" si="1364">AM375+AN375</f>
        <v>0</v>
      </c>
      <c r="AM375" s="64">
        <f>+AI375*Inf</f>
        <v>0</v>
      </c>
      <c r="AN375" s="64">
        <f>+AJ375*Inf</f>
        <v>0</v>
      </c>
      <c r="AO375" s="165" t="s">
        <v>35</v>
      </c>
    </row>
    <row r="376" spans="1:41" s="1" customFormat="1" ht="13.2" hidden="1" customHeight="1" x14ac:dyDescent="0.25">
      <c r="A376" s="131"/>
      <c r="B376" s="134"/>
      <c r="C376" s="134"/>
      <c r="D376" s="134"/>
      <c r="E376" s="134"/>
      <c r="F376" s="134"/>
      <c r="G376" s="136"/>
      <c r="H376" s="136"/>
      <c r="I376" s="136"/>
      <c r="J376" s="129" t="str">
        <f t="shared" si="901"/>
        <v/>
      </c>
      <c r="K376" s="129"/>
      <c r="L376" s="132">
        <f t="shared" si="1150"/>
        <v>0</v>
      </c>
      <c r="M376" s="132">
        <f t="shared" si="1332"/>
        <v>0</v>
      </c>
      <c r="N376" s="130"/>
      <c r="O376" s="136"/>
      <c r="P376" s="136">
        <f t="shared" si="1360"/>
        <v>0</v>
      </c>
      <c r="Q376" s="136">
        <f t="shared" si="1353"/>
        <v>0</v>
      </c>
      <c r="R376" s="136">
        <f t="shared" si="1354"/>
        <v>0</v>
      </c>
      <c r="S376" s="136">
        <f t="shared" si="1355"/>
        <v>0</v>
      </c>
      <c r="T376" s="136">
        <f t="shared" si="1277"/>
        <v>0</v>
      </c>
      <c r="U376" s="136">
        <f t="shared" si="1277"/>
        <v>0</v>
      </c>
      <c r="V376" s="136">
        <f t="shared" si="1356"/>
        <v>0</v>
      </c>
      <c r="W376" s="136">
        <f t="shared" si="1357"/>
        <v>0</v>
      </c>
      <c r="X376" s="130">
        <f t="shared" si="1227"/>
        <v>0</v>
      </c>
      <c r="Y376" s="129"/>
      <c r="Z376" s="136"/>
      <c r="AA376" s="136"/>
      <c r="AB376" s="136"/>
      <c r="AC376" s="129"/>
      <c r="AD376" s="136"/>
      <c r="AE376" s="136"/>
      <c r="AF376" s="136"/>
      <c r="AG376" s="129"/>
      <c r="AH376" s="136"/>
      <c r="AI376" s="136"/>
      <c r="AJ376" s="136"/>
      <c r="AK376" s="129"/>
      <c r="AL376" s="136"/>
      <c r="AM376" s="136"/>
      <c r="AN376" s="136"/>
      <c r="AO376" s="165"/>
    </row>
    <row r="377" spans="1:41" s="1" customFormat="1" ht="13.2" hidden="1" customHeight="1" x14ac:dyDescent="0.25">
      <c r="A377" s="131"/>
      <c r="B377" s="134"/>
      <c r="C377" s="134"/>
      <c r="D377" s="134"/>
      <c r="E377" s="134"/>
      <c r="F377" s="134"/>
      <c r="G377" s="136"/>
      <c r="H377" s="136"/>
      <c r="I377" s="136"/>
      <c r="J377" s="129" t="str">
        <f t="shared" si="901"/>
        <v/>
      </c>
      <c r="K377" s="129"/>
      <c r="L377" s="132">
        <f t="shared" si="1150"/>
        <v>0</v>
      </c>
      <c r="M377" s="132">
        <f t="shared" si="1332"/>
        <v>0</v>
      </c>
      <c r="N377" s="130"/>
      <c r="O377" s="136"/>
      <c r="P377" s="136">
        <f t="shared" si="1360"/>
        <v>0</v>
      </c>
      <c r="Q377" s="136">
        <f t="shared" si="1353"/>
        <v>0</v>
      </c>
      <c r="R377" s="136">
        <f t="shared" si="1354"/>
        <v>0</v>
      </c>
      <c r="S377" s="136">
        <f t="shared" si="1355"/>
        <v>0</v>
      </c>
      <c r="T377" s="136">
        <f t="shared" si="1277"/>
        <v>0</v>
      </c>
      <c r="U377" s="136">
        <f t="shared" si="1277"/>
        <v>0</v>
      </c>
      <c r="V377" s="136">
        <f t="shared" si="1356"/>
        <v>0</v>
      </c>
      <c r="W377" s="136">
        <f t="shared" si="1357"/>
        <v>0</v>
      </c>
      <c r="X377" s="130">
        <f t="shared" si="1227"/>
        <v>0</v>
      </c>
      <c r="Y377" s="129"/>
      <c r="Z377" s="136"/>
      <c r="AA377" s="136"/>
      <c r="AB377" s="136"/>
      <c r="AC377" s="129"/>
      <c r="AD377" s="136"/>
      <c r="AE377" s="136"/>
      <c r="AF377" s="136"/>
      <c r="AG377" s="129"/>
      <c r="AH377" s="136"/>
      <c r="AI377" s="136"/>
      <c r="AJ377" s="136"/>
      <c r="AK377" s="129"/>
      <c r="AL377" s="136"/>
      <c r="AM377" s="136"/>
      <c r="AN377" s="136"/>
      <c r="AO377" s="165"/>
    </row>
    <row r="378" spans="1:41" s="1" customFormat="1" ht="13.2" hidden="1" customHeight="1" x14ac:dyDescent="0.25">
      <c r="A378" s="131"/>
      <c r="B378" s="134"/>
      <c r="C378" s="134"/>
      <c r="D378" s="134"/>
      <c r="E378" s="134"/>
      <c r="F378" s="134"/>
      <c r="G378" s="136"/>
      <c r="H378" s="136"/>
      <c r="I378" s="136"/>
      <c r="J378" s="129" t="str">
        <f t="shared" si="901"/>
        <v/>
      </c>
      <c r="K378" s="129"/>
      <c r="L378" s="132">
        <f t="shared" si="1150"/>
        <v>0</v>
      </c>
      <c r="M378" s="132">
        <f t="shared" si="1332"/>
        <v>0</v>
      </c>
      <c r="N378" s="130"/>
      <c r="O378" s="136"/>
      <c r="P378" s="136">
        <f t="shared" si="1360"/>
        <v>0</v>
      </c>
      <c r="Q378" s="136">
        <f t="shared" si="1353"/>
        <v>0</v>
      </c>
      <c r="R378" s="136">
        <f t="shared" si="1354"/>
        <v>0</v>
      </c>
      <c r="S378" s="136">
        <f t="shared" si="1355"/>
        <v>0</v>
      </c>
      <c r="T378" s="136">
        <f t="shared" si="1277"/>
        <v>0</v>
      </c>
      <c r="U378" s="136">
        <f t="shared" si="1277"/>
        <v>0</v>
      </c>
      <c r="V378" s="136">
        <f t="shared" si="1356"/>
        <v>0</v>
      </c>
      <c r="W378" s="136">
        <f t="shared" si="1357"/>
        <v>0</v>
      </c>
      <c r="X378" s="130">
        <f t="shared" si="1227"/>
        <v>0</v>
      </c>
      <c r="Y378" s="129"/>
      <c r="Z378" s="136"/>
      <c r="AA378" s="136"/>
      <c r="AB378" s="136"/>
      <c r="AC378" s="129"/>
      <c r="AD378" s="136"/>
      <c r="AE378" s="136"/>
      <c r="AF378" s="136"/>
      <c r="AG378" s="129"/>
      <c r="AH378" s="136"/>
      <c r="AI378" s="136"/>
      <c r="AJ378" s="136"/>
      <c r="AK378" s="129"/>
      <c r="AL378" s="136"/>
      <c r="AM378" s="136"/>
      <c r="AN378" s="136"/>
      <c r="AO378" s="165"/>
    </row>
    <row r="379" spans="1:41" s="1" customFormat="1" ht="13.2" hidden="1" customHeight="1" x14ac:dyDescent="0.25">
      <c r="A379" s="131"/>
      <c r="B379" s="134"/>
      <c r="C379" s="134"/>
      <c r="D379" s="134"/>
      <c r="E379" s="134"/>
      <c r="F379" s="134"/>
      <c r="G379" s="136"/>
      <c r="H379" s="136"/>
      <c r="I379" s="136"/>
      <c r="J379" s="129" t="str">
        <f t="shared" si="901"/>
        <v/>
      </c>
      <c r="K379" s="129"/>
      <c r="L379" s="132">
        <f t="shared" si="1150"/>
        <v>0</v>
      </c>
      <c r="M379" s="132">
        <f t="shared" si="1332"/>
        <v>0</v>
      </c>
      <c r="N379" s="130"/>
      <c r="O379" s="136"/>
      <c r="P379" s="136">
        <f t="shared" si="1360"/>
        <v>0</v>
      </c>
      <c r="Q379" s="136">
        <f t="shared" si="1353"/>
        <v>0</v>
      </c>
      <c r="R379" s="136">
        <f t="shared" si="1354"/>
        <v>0</v>
      </c>
      <c r="S379" s="136">
        <f t="shared" si="1355"/>
        <v>0</v>
      </c>
      <c r="T379" s="136">
        <f t="shared" si="1277"/>
        <v>0</v>
      </c>
      <c r="U379" s="136">
        <f t="shared" si="1277"/>
        <v>0</v>
      </c>
      <c r="V379" s="136">
        <f t="shared" si="1356"/>
        <v>0</v>
      </c>
      <c r="W379" s="136">
        <f t="shared" si="1357"/>
        <v>0</v>
      </c>
      <c r="X379" s="130">
        <f t="shared" si="1227"/>
        <v>0</v>
      </c>
      <c r="Y379" s="129"/>
      <c r="Z379" s="136"/>
      <c r="AA379" s="136"/>
      <c r="AB379" s="136"/>
      <c r="AC379" s="129"/>
      <c r="AD379" s="136"/>
      <c r="AE379" s="136"/>
      <c r="AF379" s="136"/>
      <c r="AG379" s="129"/>
      <c r="AH379" s="136"/>
      <c r="AI379" s="136"/>
      <c r="AJ379" s="136"/>
      <c r="AK379" s="129"/>
      <c r="AL379" s="136"/>
      <c r="AM379" s="136"/>
      <c r="AN379" s="136"/>
      <c r="AO379" s="165"/>
    </row>
    <row r="380" spans="1:41" s="1" customFormat="1" ht="13.2" hidden="1" customHeight="1" x14ac:dyDescent="0.25">
      <c r="A380" s="131"/>
      <c r="B380" s="134"/>
      <c r="C380" s="134"/>
      <c r="D380" s="134"/>
      <c r="E380" s="134"/>
      <c r="F380" s="134"/>
      <c r="G380" s="136"/>
      <c r="H380" s="136"/>
      <c r="I380" s="136"/>
      <c r="J380" s="129" t="str">
        <f t="shared" ref="J380:J444" si="1365">IF(G380&gt;0.49,"*","")</f>
        <v/>
      </c>
      <c r="K380" s="129"/>
      <c r="L380" s="132">
        <f t="shared" si="1150"/>
        <v>0</v>
      </c>
      <c r="M380" s="132">
        <f t="shared" si="1332"/>
        <v>0</v>
      </c>
      <c r="N380" s="130"/>
      <c r="O380" s="136"/>
      <c r="P380" s="136">
        <f t="shared" si="1360"/>
        <v>0</v>
      </c>
      <c r="Q380" s="136">
        <f t="shared" si="1353"/>
        <v>0</v>
      </c>
      <c r="R380" s="136">
        <f t="shared" si="1354"/>
        <v>0</v>
      </c>
      <c r="S380" s="136">
        <f t="shared" si="1355"/>
        <v>0</v>
      </c>
      <c r="T380" s="136">
        <f t="shared" si="1277"/>
        <v>0</v>
      </c>
      <c r="U380" s="136">
        <f t="shared" si="1277"/>
        <v>0</v>
      </c>
      <c r="V380" s="136">
        <f t="shared" si="1356"/>
        <v>0</v>
      </c>
      <c r="W380" s="136">
        <f t="shared" si="1357"/>
        <v>0</v>
      </c>
      <c r="X380" s="130">
        <f t="shared" si="1227"/>
        <v>0</v>
      </c>
      <c r="Y380" s="129"/>
      <c r="Z380" s="136"/>
      <c r="AA380" s="136"/>
      <c r="AB380" s="136"/>
      <c r="AC380" s="129"/>
      <c r="AD380" s="136"/>
      <c r="AE380" s="136"/>
      <c r="AF380" s="136"/>
      <c r="AG380" s="129"/>
      <c r="AH380" s="136"/>
      <c r="AI380" s="136"/>
      <c r="AJ380" s="136"/>
      <c r="AK380" s="129"/>
      <c r="AL380" s="136"/>
      <c r="AM380" s="136"/>
      <c r="AN380" s="136"/>
      <c r="AO380" s="165"/>
    </row>
    <row r="381" spans="1:41" s="1" customFormat="1" ht="13.2" hidden="1" customHeight="1" x14ac:dyDescent="0.25">
      <c r="A381" s="131"/>
      <c r="B381" s="134"/>
      <c r="C381" s="134"/>
      <c r="D381" s="134"/>
      <c r="E381" s="134"/>
      <c r="F381" s="134"/>
      <c r="G381" s="136"/>
      <c r="H381" s="136"/>
      <c r="I381" s="136"/>
      <c r="J381" s="129" t="str">
        <f t="shared" si="1365"/>
        <v/>
      </c>
      <c r="K381" s="129"/>
      <c r="L381" s="132">
        <f t="shared" si="1150"/>
        <v>0</v>
      </c>
      <c r="M381" s="132">
        <f t="shared" si="1332"/>
        <v>0</v>
      </c>
      <c r="N381" s="130"/>
      <c r="O381" s="136"/>
      <c r="P381" s="136">
        <f t="shared" si="1360"/>
        <v>0</v>
      </c>
      <c r="Q381" s="136">
        <f t="shared" si="1353"/>
        <v>0</v>
      </c>
      <c r="R381" s="136">
        <f t="shared" si="1354"/>
        <v>0</v>
      </c>
      <c r="S381" s="136">
        <f t="shared" si="1355"/>
        <v>0</v>
      </c>
      <c r="T381" s="136">
        <f t="shared" si="1277"/>
        <v>0</v>
      </c>
      <c r="U381" s="136">
        <f t="shared" si="1277"/>
        <v>0</v>
      </c>
      <c r="V381" s="136">
        <f t="shared" si="1356"/>
        <v>0</v>
      </c>
      <c r="W381" s="136">
        <f t="shared" si="1357"/>
        <v>0</v>
      </c>
      <c r="X381" s="130">
        <f t="shared" si="1227"/>
        <v>0</v>
      </c>
      <c r="Y381" s="129"/>
      <c r="Z381" s="136"/>
      <c r="AA381" s="136"/>
      <c r="AB381" s="136"/>
      <c r="AC381" s="129"/>
      <c r="AD381" s="136"/>
      <c r="AE381" s="136"/>
      <c r="AF381" s="136"/>
      <c r="AG381" s="129"/>
      <c r="AH381" s="136"/>
      <c r="AI381" s="136"/>
      <c r="AJ381" s="136"/>
      <c r="AK381" s="129"/>
      <c r="AL381" s="136"/>
      <c r="AM381" s="136"/>
      <c r="AN381" s="136"/>
      <c r="AO381" s="165"/>
    </row>
    <row r="382" spans="1:41" s="1" customFormat="1" ht="13.2" hidden="1" customHeight="1" x14ac:dyDescent="0.25">
      <c r="A382" s="131"/>
      <c r="B382" s="134"/>
      <c r="C382" s="134"/>
      <c r="D382" s="134"/>
      <c r="E382" s="134"/>
      <c r="F382" s="134"/>
      <c r="G382" s="136"/>
      <c r="H382" s="136"/>
      <c r="I382" s="136"/>
      <c r="J382" s="129" t="str">
        <f t="shared" si="1365"/>
        <v/>
      </c>
      <c r="K382" s="129"/>
      <c r="L382" s="132">
        <f t="shared" si="1150"/>
        <v>0</v>
      </c>
      <c r="M382" s="132">
        <f t="shared" si="1332"/>
        <v>0</v>
      </c>
      <c r="N382" s="130"/>
      <c r="O382" s="136"/>
      <c r="P382" s="136">
        <f t="shared" si="1360"/>
        <v>0</v>
      </c>
      <c r="Q382" s="136">
        <f t="shared" si="1353"/>
        <v>0</v>
      </c>
      <c r="R382" s="136">
        <f t="shared" si="1354"/>
        <v>0</v>
      </c>
      <c r="S382" s="136">
        <f t="shared" si="1355"/>
        <v>0</v>
      </c>
      <c r="T382" s="136">
        <f t="shared" si="1277"/>
        <v>0</v>
      </c>
      <c r="U382" s="136">
        <f t="shared" si="1277"/>
        <v>0</v>
      </c>
      <c r="V382" s="136">
        <f t="shared" si="1356"/>
        <v>0</v>
      </c>
      <c r="W382" s="136">
        <f t="shared" si="1357"/>
        <v>0</v>
      </c>
      <c r="X382" s="130">
        <f t="shared" si="1227"/>
        <v>0</v>
      </c>
      <c r="Y382" s="129"/>
      <c r="Z382" s="136"/>
      <c r="AA382" s="136"/>
      <c r="AB382" s="136"/>
      <c r="AC382" s="129"/>
      <c r="AD382" s="136"/>
      <c r="AE382" s="136"/>
      <c r="AF382" s="136"/>
      <c r="AG382" s="129"/>
      <c r="AH382" s="136"/>
      <c r="AI382" s="136"/>
      <c r="AJ382" s="136"/>
      <c r="AK382" s="129"/>
      <c r="AL382" s="136"/>
      <c r="AM382" s="136"/>
      <c r="AN382" s="136"/>
      <c r="AO382" s="165"/>
    </row>
    <row r="383" spans="1:41" hidden="1" x14ac:dyDescent="0.25">
      <c r="A383" s="131"/>
      <c r="B383" s="63"/>
      <c r="C383" s="63"/>
      <c r="D383" s="63"/>
      <c r="E383" s="63"/>
      <c r="F383" s="63"/>
      <c r="G383" s="65"/>
      <c r="H383" s="65"/>
      <c r="I383" s="65"/>
      <c r="J383" s="129" t="str">
        <f>IF(J384="*","*","")</f>
        <v/>
      </c>
      <c r="L383" s="132">
        <f t="shared" si="1150"/>
        <v>0</v>
      </c>
      <c r="M383" s="132">
        <f t="shared" si="1332"/>
        <v>0</v>
      </c>
      <c r="N383" s="130"/>
      <c r="O383" s="136"/>
      <c r="P383" s="136">
        <f>IF(B383=432,G383,0)</f>
        <v>0</v>
      </c>
      <c r="Q383" s="136">
        <f t="shared" si="1353"/>
        <v>0</v>
      </c>
      <c r="R383" s="136">
        <f t="shared" si="1354"/>
        <v>0</v>
      </c>
      <c r="S383" s="136">
        <f t="shared" si="1355"/>
        <v>0</v>
      </c>
      <c r="T383" s="136">
        <f t="shared" si="1277"/>
        <v>0</v>
      </c>
      <c r="U383" s="136">
        <f t="shared" si="1277"/>
        <v>0</v>
      </c>
      <c r="V383" s="136">
        <f t="shared" si="1356"/>
        <v>0</v>
      </c>
      <c r="W383" s="136">
        <f t="shared" si="1357"/>
        <v>0</v>
      </c>
      <c r="X383" s="130">
        <f t="shared" si="1227"/>
        <v>0</v>
      </c>
      <c r="Z383" s="65"/>
      <c r="AA383" s="65"/>
      <c r="AB383" s="65"/>
      <c r="AD383" s="65"/>
      <c r="AE383" s="65"/>
      <c r="AF383" s="65"/>
      <c r="AH383" s="65"/>
      <c r="AI383" s="65"/>
      <c r="AJ383" s="65"/>
      <c r="AL383" s="65"/>
      <c r="AM383" s="65"/>
      <c r="AN383" s="65"/>
      <c r="AO383" s="165"/>
    </row>
    <row r="384" spans="1:41" hidden="1" x14ac:dyDescent="0.25">
      <c r="A384" s="131"/>
      <c r="F384" s="85" t="s">
        <v>85</v>
      </c>
      <c r="G384" s="86">
        <f>SUM(G375:G383)</f>
        <v>0</v>
      </c>
      <c r="H384" s="86">
        <f t="shared" ref="H384:I384" si="1366">SUM(H375:H383)</f>
        <v>0</v>
      </c>
      <c r="I384" s="86">
        <f t="shared" si="1366"/>
        <v>0</v>
      </c>
      <c r="J384" s="129" t="str">
        <f>IF(G384&gt;0.49,"*","")</f>
        <v/>
      </c>
      <c r="L384" s="86">
        <f t="shared" ref="L384:X384" si="1367">SUM(L375:L383)</f>
        <v>0</v>
      </c>
      <c r="M384" s="86">
        <f t="shared" si="1367"/>
        <v>0</v>
      </c>
      <c r="N384" s="86">
        <f t="shared" si="1367"/>
        <v>0</v>
      </c>
      <c r="O384" s="86">
        <f t="shared" si="1367"/>
        <v>0</v>
      </c>
      <c r="P384" s="86">
        <f t="shared" si="1367"/>
        <v>0</v>
      </c>
      <c r="Q384" s="86">
        <f t="shared" si="1367"/>
        <v>0</v>
      </c>
      <c r="R384" s="86">
        <f t="shared" si="1367"/>
        <v>0</v>
      </c>
      <c r="S384" s="86">
        <f t="shared" ref="S384:W384" si="1368">SUM(S375:S383)</f>
        <v>0</v>
      </c>
      <c r="T384" s="86">
        <f t="shared" si="1368"/>
        <v>0</v>
      </c>
      <c r="U384" s="86">
        <f t="shared" si="1368"/>
        <v>0</v>
      </c>
      <c r="V384" s="86">
        <f t="shared" si="1368"/>
        <v>0</v>
      </c>
      <c r="W384" s="86">
        <f t="shared" si="1368"/>
        <v>0</v>
      </c>
      <c r="X384" s="86">
        <f t="shared" si="1367"/>
        <v>0</v>
      </c>
      <c r="Z384" s="86">
        <f>SUM(Z375:Z383)</f>
        <v>0</v>
      </c>
      <c r="AA384" s="86">
        <f t="shared" ref="AA384:AB384" si="1369">SUM(AA375:AA383)</f>
        <v>0</v>
      </c>
      <c r="AB384" s="86">
        <f t="shared" si="1369"/>
        <v>0</v>
      </c>
      <c r="AD384" s="86">
        <f>SUM(AD375:AD383)</f>
        <v>0</v>
      </c>
      <c r="AE384" s="86">
        <f t="shared" ref="AE384:AF384" si="1370">SUM(AE375:AE383)</f>
        <v>0</v>
      </c>
      <c r="AF384" s="86">
        <f t="shared" si="1370"/>
        <v>0</v>
      </c>
      <c r="AH384" s="86">
        <f>SUM(AH375:AH383)</f>
        <v>0</v>
      </c>
      <c r="AI384" s="86">
        <f t="shared" ref="AI384:AJ384" si="1371">SUM(AI375:AI383)</f>
        <v>0</v>
      </c>
      <c r="AJ384" s="86">
        <f t="shared" si="1371"/>
        <v>0</v>
      </c>
      <c r="AL384" s="86">
        <f>SUM(AL375:AL383)</f>
        <v>0</v>
      </c>
      <c r="AM384" s="86">
        <f t="shared" ref="AM384:AN384" si="1372">SUM(AM375:AM383)</f>
        <v>0</v>
      </c>
      <c r="AN384" s="86">
        <f t="shared" si="1372"/>
        <v>0</v>
      </c>
      <c r="AO384" s="165"/>
    </row>
    <row r="385" spans="1:41" hidden="1" x14ac:dyDescent="0.25">
      <c r="A385" s="131"/>
      <c r="B385" s="77"/>
      <c r="C385" s="77"/>
      <c r="D385" s="77"/>
      <c r="E385" s="77"/>
      <c r="F385" s="90"/>
      <c r="J385" s="129" t="str">
        <f>IF(J384="*","*","")</f>
        <v/>
      </c>
      <c r="L385" s="132">
        <f t="shared" si="1150"/>
        <v>0</v>
      </c>
      <c r="M385" s="132">
        <f t="shared" ref="M385:M413" si="1373">IF(E385&gt;299,G385,0)</f>
        <v>0</v>
      </c>
      <c r="N385" s="130"/>
      <c r="O385" s="136"/>
      <c r="P385" s="136">
        <f>IF(B385=432,G385,0)</f>
        <v>0</v>
      </c>
      <c r="Q385" s="136">
        <f t="shared" ref="Q385:Q413" si="1374">IF(B385=410,H385,0)</f>
        <v>0</v>
      </c>
      <c r="R385" s="136">
        <f t="shared" ref="R385:R413" si="1375">IF(B385=432,H385,0)</f>
        <v>0</v>
      </c>
      <c r="S385" s="136">
        <f t="shared" ref="S385:S450" si="1376">IF(B385=432,I385,0)</f>
        <v>0</v>
      </c>
      <c r="T385" s="136">
        <f t="shared" si="1277"/>
        <v>0</v>
      </c>
      <c r="U385" s="136">
        <f t="shared" si="1277"/>
        <v>0</v>
      </c>
      <c r="V385" s="136">
        <f t="shared" ref="V385:V413" si="1377">IF(B385=360,I385,0)</f>
        <v>0</v>
      </c>
      <c r="W385" s="136">
        <f t="shared" ref="W385:W413" si="1378">IF(B385=410,I385,0)</f>
        <v>0</v>
      </c>
      <c r="X385" s="130">
        <f t="shared" si="1227"/>
        <v>0</v>
      </c>
      <c r="AO385" s="165"/>
    </row>
    <row r="386" spans="1:41" x14ac:dyDescent="0.25">
      <c r="A386" s="131"/>
      <c r="B386" s="63">
        <v>100</v>
      </c>
      <c r="C386" s="63">
        <v>4000</v>
      </c>
      <c r="D386" s="63">
        <v>7900</v>
      </c>
      <c r="E386" s="63">
        <v>160</v>
      </c>
      <c r="F386" s="63" t="s">
        <v>86</v>
      </c>
      <c r="G386" s="64">
        <f>+'Payroll Input'!H154</f>
        <v>40800</v>
      </c>
      <c r="H386" s="64">
        <f>+SUM('Payroll Input'!$H$147:$H$149)</f>
        <v>24480</v>
      </c>
      <c r="I386" s="64">
        <f>+SUM('Payroll Input'!$H$151:$H$153)</f>
        <v>16320</v>
      </c>
      <c r="J386" s="129" t="str">
        <f t="shared" si="1365"/>
        <v>*</v>
      </c>
      <c r="L386" s="132">
        <f t="shared" si="1150"/>
        <v>40800</v>
      </c>
      <c r="M386" s="132">
        <f t="shared" si="1373"/>
        <v>0</v>
      </c>
      <c r="N386" s="130"/>
      <c r="O386" s="136"/>
      <c r="P386" s="136">
        <f t="shared" ref="P386:P404" si="1379">IF(B386=490,G386,0)</f>
        <v>0</v>
      </c>
      <c r="Q386" s="136">
        <f t="shared" si="1374"/>
        <v>0</v>
      </c>
      <c r="R386" s="136">
        <f t="shared" si="1375"/>
        <v>0</v>
      </c>
      <c r="S386" s="136">
        <f t="shared" si="1376"/>
        <v>0</v>
      </c>
      <c r="T386" s="136">
        <f t="shared" si="1277"/>
        <v>0</v>
      </c>
      <c r="U386" s="136">
        <f t="shared" si="1277"/>
        <v>0</v>
      </c>
      <c r="V386" s="136">
        <f t="shared" si="1377"/>
        <v>0</v>
      </c>
      <c r="W386" s="136">
        <f t="shared" si="1378"/>
        <v>0</v>
      </c>
      <c r="X386" s="130">
        <f t="shared" si="1227"/>
        <v>0</v>
      </c>
      <c r="Z386" s="132">
        <f>AA386+AB386</f>
        <v>50076.678260869565</v>
      </c>
      <c r="AA386" s="132">
        <f>(H386)/H$11*AA$11*Inf</f>
        <v>26785.199999999997</v>
      </c>
      <c r="AB386" s="132">
        <f>(I386)/I$11*AB$11*Inf</f>
        <v>23291.478260869568</v>
      </c>
      <c r="AD386" s="103">
        <f t="shared" ref="AD386:AD392" si="1380">AE386+AF386</f>
        <v>50577.445043478263</v>
      </c>
      <c r="AE386" s="103">
        <f>(AA386)/AA$11*AE$11*Inf</f>
        <v>27053.052</v>
      </c>
      <c r="AF386" s="103">
        <f>(AB386)/AB$11*AF$11*Inf</f>
        <v>23524.393043478263</v>
      </c>
      <c r="AH386" s="103">
        <f t="shared" ref="AH386:AH392" si="1381">AI386+AJ386</f>
        <v>55012.697916521749</v>
      </c>
      <c r="AI386" s="103">
        <f>(AE386)/AE$11*AI$11*Inf</f>
        <v>29425.396560000001</v>
      </c>
      <c r="AJ386" s="103">
        <f>(AF386)/AF$11*AJ$11*Inf</f>
        <v>25587.301356521744</v>
      </c>
      <c r="AL386" s="103">
        <f t="shared" ref="AL386:AL392" si="1382">AM386+AN386</f>
        <v>55562.824895686965</v>
      </c>
      <c r="AM386" s="103">
        <f>(AI386)/AI$11*AM$11*Inf</f>
        <v>29719.650525600002</v>
      </c>
      <c r="AN386" s="103">
        <f>(AJ386)/AJ$11*AN$11*Inf</f>
        <v>25843.174370086963</v>
      </c>
      <c r="AO386" s="165" t="s">
        <v>35</v>
      </c>
    </row>
    <row r="387" spans="1:41" s="1" customFormat="1" ht="13.2" hidden="1" customHeight="1" x14ac:dyDescent="0.25">
      <c r="A387" s="131"/>
      <c r="B387" s="134">
        <v>100</v>
      </c>
      <c r="C387" s="134">
        <v>4000</v>
      </c>
      <c r="D387" s="134">
        <v>7900</v>
      </c>
      <c r="E387" s="134">
        <v>165</v>
      </c>
      <c r="F387" s="134" t="s">
        <v>87</v>
      </c>
      <c r="G387" s="136">
        <v>0</v>
      </c>
      <c r="H387" s="136">
        <v>0</v>
      </c>
      <c r="I387" s="136">
        <v>0</v>
      </c>
      <c r="J387" s="129" t="str">
        <f t="shared" si="1365"/>
        <v/>
      </c>
      <c r="K387" s="129"/>
      <c r="L387" s="132">
        <f t="shared" si="1150"/>
        <v>0</v>
      </c>
      <c r="M387" s="132">
        <f t="shared" si="1373"/>
        <v>0</v>
      </c>
      <c r="N387" s="130"/>
      <c r="O387" s="136"/>
      <c r="P387" s="136">
        <f t="shared" si="1379"/>
        <v>0</v>
      </c>
      <c r="Q387" s="136">
        <f t="shared" si="1374"/>
        <v>0</v>
      </c>
      <c r="R387" s="136">
        <f t="shared" si="1375"/>
        <v>0</v>
      </c>
      <c r="S387" s="136">
        <f t="shared" si="1376"/>
        <v>0</v>
      </c>
      <c r="T387" s="136">
        <f t="shared" si="1277"/>
        <v>0</v>
      </c>
      <c r="U387" s="136">
        <f t="shared" si="1277"/>
        <v>0</v>
      </c>
      <c r="V387" s="136">
        <f t="shared" si="1377"/>
        <v>0</v>
      </c>
      <c r="W387" s="136">
        <f t="shared" si="1378"/>
        <v>0</v>
      </c>
      <c r="X387" s="130">
        <f t="shared" si="1227"/>
        <v>0</v>
      </c>
      <c r="Y387" s="129"/>
      <c r="Z387" s="132">
        <f t="shared" ref="Z387:Z392" si="1383">AA387+AB387</f>
        <v>0</v>
      </c>
      <c r="AA387" s="132">
        <f>(H387)/H$11*AA$11*Inf</f>
        <v>0</v>
      </c>
      <c r="AB387" s="132">
        <f>(I387)/I$11*AB$11*Inf</f>
        <v>0</v>
      </c>
      <c r="AC387" s="77"/>
      <c r="AD387" s="103">
        <f t="shared" si="1380"/>
        <v>0</v>
      </c>
      <c r="AE387" s="103">
        <f>(AA387)/AA$11*AE$11*Inf</f>
        <v>0</v>
      </c>
      <c r="AF387" s="103">
        <f>(AB387)/AB$11*AF$11*Inf</f>
        <v>0</v>
      </c>
      <c r="AG387" s="77"/>
      <c r="AH387" s="103">
        <f t="shared" si="1381"/>
        <v>0</v>
      </c>
      <c r="AI387" s="103">
        <f>(AE387)/AE$11*AI$11*Inf</f>
        <v>0</v>
      </c>
      <c r="AJ387" s="103">
        <f>(AF387)/AF$11*AJ$11*Inf</f>
        <v>0</v>
      </c>
      <c r="AK387" s="77"/>
      <c r="AL387" s="103">
        <f t="shared" si="1382"/>
        <v>0</v>
      </c>
      <c r="AM387" s="103">
        <f>(AI387)/AI$11*AM$11*Inf</f>
        <v>0</v>
      </c>
      <c r="AN387" s="103">
        <f>(AJ387)/AJ$11*AN$11*Inf</f>
        <v>0</v>
      </c>
      <c r="AO387" s="165" t="s">
        <v>35</v>
      </c>
    </row>
    <row r="388" spans="1:41" s="1" customFormat="1" x14ac:dyDescent="0.25">
      <c r="A388" s="131"/>
      <c r="B388" s="134">
        <v>100</v>
      </c>
      <c r="C388" s="134">
        <v>4000</v>
      </c>
      <c r="D388" s="134">
        <v>7900</v>
      </c>
      <c r="E388" s="134">
        <v>210</v>
      </c>
      <c r="F388" s="134" t="s">
        <v>45</v>
      </c>
      <c r="G388" s="136">
        <f>+'Payroll Input'!$I154</f>
        <v>4859.28</v>
      </c>
      <c r="H388" s="64">
        <f>+SUM('Payroll Input'!$I$147:$I$149)</f>
        <v>2915.5679999999998</v>
      </c>
      <c r="I388" s="64">
        <f>+SUM('Payroll Input'!$I$151:$I$153)</f>
        <v>1943.712</v>
      </c>
      <c r="J388" s="129" t="str">
        <f t="shared" si="1365"/>
        <v>*</v>
      </c>
      <c r="K388" s="129"/>
      <c r="L388" s="132">
        <f t="shared" si="1150"/>
        <v>4859.28</v>
      </c>
      <c r="M388" s="132">
        <f t="shared" si="1373"/>
        <v>0</v>
      </c>
      <c r="N388" s="130"/>
      <c r="O388" s="136"/>
      <c r="P388" s="136">
        <f t="shared" si="1379"/>
        <v>0</v>
      </c>
      <c r="Q388" s="136">
        <f t="shared" si="1374"/>
        <v>0</v>
      </c>
      <c r="R388" s="136">
        <f t="shared" si="1375"/>
        <v>0</v>
      </c>
      <c r="S388" s="136">
        <f t="shared" si="1376"/>
        <v>0</v>
      </c>
      <c r="T388" s="136">
        <f t="shared" si="1277"/>
        <v>0</v>
      </c>
      <c r="U388" s="136">
        <f t="shared" si="1277"/>
        <v>0</v>
      </c>
      <c r="V388" s="136">
        <f t="shared" si="1377"/>
        <v>0</v>
      </c>
      <c r="W388" s="136">
        <f t="shared" si="1378"/>
        <v>0</v>
      </c>
      <c r="X388" s="130">
        <f t="shared" si="1227"/>
        <v>0</v>
      </c>
      <c r="Y388" s="129"/>
      <c r="Z388" s="132">
        <f t="shared" si="1383"/>
        <v>5007.6678260869567</v>
      </c>
      <c r="AA388" s="132">
        <f>SUM(AA$386:AA$387)*10%</f>
        <v>2678.52</v>
      </c>
      <c r="AB388" s="132">
        <f>SUM(AB$386:AB$387)*10%</f>
        <v>2329.1478260869567</v>
      </c>
      <c r="AC388" s="129"/>
      <c r="AD388" s="103">
        <f t="shared" si="1380"/>
        <v>5057.7445043478265</v>
      </c>
      <c r="AE388" s="132">
        <f>SUM(AE$386:AE$387)*10%</f>
        <v>2705.3052000000002</v>
      </c>
      <c r="AF388" s="132">
        <f>SUM(AF$386:AF$387)*10%</f>
        <v>2352.4393043478262</v>
      </c>
      <c r="AG388" s="129"/>
      <c r="AH388" s="103">
        <f t="shared" si="1381"/>
        <v>5501.2697916521756</v>
      </c>
      <c r="AI388" s="132">
        <f>SUM(AI$386:AI$387)*10%</f>
        <v>2942.5396560000004</v>
      </c>
      <c r="AJ388" s="132">
        <f>SUM(AJ$386:AJ$387)*10%</f>
        <v>2558.7301356521748</v>
      </c>
      <c r="AK388" s="129"/>
      <c r="AL388" s="103">
        <f t="shared" si="1382"/>
        <v>5556.2824895686972</v>
      </c>
      <c r="AM388" s="132">
        <f>SUM(AM$386:AM$387)*10%</f>
        <v>2971.9650525600005</v>
      </c>
      <c r="AN388" s="132">
        <f>SUM(AN$386:AN$387)*10%</f>
        <v>2584.3174370086963</v>
      </c>
      <c r="AO388" s="165" t="s">
        <v>56</v>
      </c>
    </row>
    <row r="389" spans="1:41" x14ac:dyDescent="0.25">
      <c r="A389" s="131"/>
      <c r="B389" s="63">
        <v>100</v>
      </c>
      <c r="C389" s="63">
        <v>4000</v>
      </c>
      <c r="D389" s="63">
        <v>7900</v>
      </c>
      <c r="E389" s="63">
        <v>220</v>
      </c>
      <c r="F389" s="63" t="s">
        <v>47</v>
      </c>
      <c r="G389" s="64">
        <f>+'Payroll Input'!$K154</f>
        <v>3121.2</v>
      </c>
      <c r="H389" s="64">
        <f>+SUM('Payroll Input'!$K$147:$K$149)</f>
        <v>1872.72</v>
      </c>
      <c r="I389" s="64">
        <f>+SUM('Payroll Input'!$K$151:$K$153)</f>
        <v>1248.48</v>
      </c>
      <c r="J389" s="129" t="str">
        <f t="shared" si="1365"/>
        <v>*</v>
      </c>
      <c r="L389" s="132">
        <f t="shared" si="1150"/>
        <v>3121.2</v>
      </c>
      <c r="M389" s="132">
        <f t="shared" si="1373"/>
        <v>0</v>
      </c>
      <c r="N389" s="130"/>
      <c r="O389" s="136"/>
      <c r="P389" s="136">
        <f t="shared" si="1379"/>
        <v>0</v>
      </c>
      <c r="Q389" s="136">
        <f t="shared" si="1374"/>
        <v>0</v>
      </c>
      <c r="R389" s="136">
        <f t="shared" si="1375"/>
        <v>0</v>
      </c>
      <c r="S389" s="136">
        <f t="shared" si="1376"/>
        <v>0</v>
      </c>
      <c r="T389" s="136">
        <f t="shared" si="1277"/>
        <v>0</v>
      </c>
      <c r="U389" s="136">
        <f t="shared" si="1277"/>
        <v>0</v>
      </c>
      <c r="V389" s="136">
        <f t="shared" si="1377"/>
        <v>0</v>
      </c>
      <c r="W389" s="136">
        <f t="shared" si="1378"/>
        <v>0</v>
      </c>
      <c r="X389" s="130">
        <f t="shared" si="1227"/>
        <v>0</v>
      </c>
      <c r="Z389" s="132">
        <f t="shared" si="1383"/>
        <v>3830.8658869565215</v>
      </c>
      <c r="AA389" s="132">
        <f>SUM(AA$386:AA$387)*7.65%</f>
        <v>2049.0677999999998</v>
      </c>
      <c r="AB389" s="132">
        <f>SUM(AB$386:AB$387)*7.65%</f>
        <v>1781.798086956522</v>
      </c>
      <c r="AC389" s="129"/>
      <c r="AD389" s="103">
        <f t="shared" si="1380"/>
        <v>3869.1745458260871</v>
      </c>
      <c r="AE389" s="132">
        <f>SUM(AE$386:AE$387)*7.65%</f>
        <v>2069.5584779999999</v>
      </c>
      <c r="AF389" s="132">
        <f>SUM(AF$386:AF$387)*7.65%</f>
        <v>1799.6160678260871</v>
      </c>
      <c r="AG389" s="129"/>
      <c r="AH389" s="103">
        <f t="shared" si="1381"/>
        <v>4208.4713906139132</v>
      </c>
      <c r="AI389" s="132">
        <f>SUM(AI$386:AI$387)*7.65%</f>
        <v>2251.0428368399998</v>
      </c>
      <c r="AJ389" s="132">
        <f>SUM(AJ$386:AJ$387)*7.65%</f>
        <v>1957.4285537739133</v>
      </c>
      <c r="AK389" s="129"/>
      <c r="AL389" s="103">
        <f t="shared" si="1382"/>
        <v>4250.5561045200529</v>
      </c>
      <c r="AM389" s="132">
        <f>SUM(AM$386:AM$387)*7.65%</f>
        <v>2273.5532652084003</v>
      </c>
      <c r="AN389" s="132">
        <f>SUM(AN$386:AN$387)*7.65%</f>
        <v>1977.0028393116527</v>
      </c>
      <c r="AO389" s="165" t="s">
        <v>57</v>
      </c>
    </row>
    <row r="390" spans="1:41" hidden="1" x14ac:dyDescent="0.25">
      <c r="A390" s="131"/>
      <c r="B390" s="63">
        <v>100</v>
      </c>
      <c r="C390" s="63">
        <v>4000</v>
      </c>
      <c r="D390" s="63">
        <v>7900</v>
      </c>
      <c r="E390" s="63">
        <v>230</v>
      </c>
      <c r="F390" s="63" t="s">
        <v>49</v>
      </c>
      <c r="G390" s="64">
        <f>+'Payroll Input'!$L154</f>
        <v>0</v>
      </c>
      <c r="H390" s="64">
        <f>+SUM('Payroll Input'!$L$147:$L$149)</f>
        <v>0</v>
      </c>
      <c r="I390" s="64">
        <f>+SUM('Payroll Input'!$L$151:$L$153)</f>
        <v>0</v>
      </c>
      <c r="J390" s="129" t="str">
        <f t="shared" si="1365"/>
        <v/>
      </c>
      <c r="L390" s="132">
        <f t="shared" si="1150"/>
        <v>0</v>
      </c>
      <c r="M390" s="132">
        <f t="shared" si="1373"/>
        <v>0</v>
      </c>
      <c r="N390" s="130"/>
      <c r="O390" s="136"/>
      <c r="P390" s="136">
        <f t="shared" si="1379"/>
        <v>0</v>
      </c>
      <c r="Q390" s="136">
        <f t="shared" si="1374"/>
        <v>0</v>
      </c>
      <c r="R390" s="136">
        <f t="shared" si="1375"/>
        <v>0</v>
      </c>
      <c r="S390" s="136">
        <f t="shared" si="1376"/>
        <v>0</v>
      </c>
      <c r="T390" s="136">
        <f t="shared" si="1277"/>
        <v>0</v>
      </c>
      <c r="U390" s="136">
        <f t="shared" si="1277"/>
        <v>0</v>
      </c>
      <c r="V390" s="136">
        <f t="shared" si="1377"/>
        <v>0</v>
      </c>
      <c r="W390" s="136">
        <f t="shared" si="1378"/>
        <v>0</v>
      </c>
      <c r="X390" s="130">
        <f t="shared" si="1227"/>
        <v>0</v>
      </c>
      <c r="Z390" s="132">
        <f t="shared" si="1383"/>
        <v>0</v>
      </c>
      <c r="AA390" s="132">
        <f t="shared" ref="AA390:AB392" si="1384">H390/SUM(H$386:H$387)*SUM(AA$386:AA$387)</f>
        <v>0</v>
      </c>
      <c r="AB390" s="132">
        <f t="shared" si="1384"/>
        <v>0</v>
      </c>
      <c r="AC390" s="129"/>
      <c r="AD390" s="103">
        <f t="shared" si="1380"/>
        <v>0</v>
      </c>
      <c r="AE390" s="132">
        <f t="shared" ref="AE390:AF392" si="1385">AA390/SUM(AA$386:AA$387)*SUM(AE$386:AE$387)</f>
        <v>0</v>
      </c>
      <c r="AF390" s="132">
        <f t="shared" si="1385"/>
        <v>0</v>
      </c>
      <c r="AG390" s="129"/>
      <c r="AH390" s="103">
        <f t="shared" si="1381"/>
        <v>0</v>
      </c>
      <c r="AI390" s="132">
        <f t="shared" ref="AI390:AJ392" si="1386">AE390/SUM(AE$386:AE$387)*SUM(AI$386:AI$387)</f>
        <v>0</v>
      </c>
      <c r="AJ390" s="132">
        <f t="shared" si="1386"/>
        <v>0</v>
      </c>
      <c r="AK390" s="129"/>
      <c r="AL390" s="103">
        <f t="shared" si="1382"/>
        <v>0</v>
      </c>
      <c r="AM390" s="132">
        <f t="shared" ref="AM390:AN392" si="1387">AI390/SUM(AI$386:AI$387)*SUM(AM$386:AM$387)</f>
        <v>0</v>
      </c>
      <c r="AN390" s="132">
        <f t="shared" si="1387"/>
        <v>0</v>
      </c>
      <c r="AO390" s="165" t="s">
        <v>50</v>
      </c>
    </row>
    <row r="391" spans="1:41" x14ac:dyDescent="0.25">
      <c r="A391" s="131"/>
      <c r="B391" s="63">
        <v>100</v>
      </c>
      <c r="C391" s="63">
        <v>4000</v>
      </c>
      <c r="D391" s="63">
        <v>7900</v>
      </c>
      <c r="E391" s="63">
        <v>240</v>
      </c>
      <c r="F391" s="63" t="s">
        <v>51</v>
      </c>
      <c r="G391" s="64">
        <f>+'Payroll Input'!$N154</f>
        <v>1538.1599999999999</v>
      </c>
      <c r="H391" s="64">
        <f>+SUM('Payroll Input'!$N$147:$N$149)</f>
        <v>922.89599999999996</v>
      </c>
      <c r="I391" s="64">
        <f>+SUM('Payroll Input'!$N$151:$N$153)</f>
        <v>615.26400000000001</v>
      </c>
      <c r="J391" s="129" t="str">
        <f t="shared" si="1365"/>
        <v>*</v>
      </c>
      <c r="L391" s="132">
        <f t="shared" si="1150"/>
        <v>1538.1599999999999</v>
      </c>
      <c r="M391" s="132">
        <f t="shared" si="1373"/>
        <v>0</v>
      </c>
      <c r="N391" s="130"/>
      <c r="O391" s="136"/>
      <c r="P391" s="136">
        <f t="shared" si="1379"/>
        <v>0</v>
      </c>
      <c r="Q391" s="136">
        <f t="shared" si="1374"/>
        <v>0</v>
      </c>
      <c r="R391" s="136">
        <f t="shared" si="1375"/>
        <v>0</v>
      </c>
      <c r="S391" s="136">
        <f t="shared" si="1376"/>
        <v>0</v>
      </c>
      <c r="T391" s="136">
        <f t="shared" si="1277"/>
        <v>0</v>
      </c>
      <c r="U391" s="136">
        <f t="shared" si="1277"/>
        <v>0</v>
      </c>
      <c r="V391" s="136">
        <f t="shared" si="1377"/>
        <v>0</v>
      </c>
      <c r="W391" s="136">
        <f t="shared" si="1378"/>
        <v>0</v>
      </c>
      <c r="X391" s="130">
        <f t="shared" si="1227"/>
        <v>0</v>
      </c>
      <c r="Z391" s="132">
        <f t="shared" si="1383"/>
        <v>1887.8907704347826</v>
      </c>
      <c r="AA391" s="132">
        <f t="shared" si="1384"/>
        <v>1009.8020399999998</v>
      </c>
      <c r="AB391" s="132">
        <f t="shared" si="1384"/>
        <v>878.08873043478263</v>
      </c>
      <c r="AC391" s="129"/>
      <c r="AD391" s="103">
        <f t="shared" si="1380"/>
        <v>1906.7696781391305</v>
      </c>
      <c r="AE391" s="132">
        <f t="shared" si="1385"/>
        <v>1019.9000603999999</v>
      </c>
      <c r="AF391" s="132">
        <f t="shared" si="1385"/>
        <v>886.86961773913049</v>
      </c>
      <c r="AG391" s="129"/>
      <c r="AH391" s="103">
        <f t="shared" si="1381"/>
        <v>2073.9787114528694</v>
      </c>
      <c r="AI391" s="132">
        <f t="shared" si="1386"/>
        <v>1109.3374503119999</v>
      </c>
      <c r="AJ391" s="132">
        <f t="shared" si="1386"/>
        <v>964.64126114086969</v>
      </c>
      <c r="AK391" s="129"/>
      <c r="AL391" s="103">
        <f t="shared" si="1382"/>
        <v>2094.7184985673985</v>
      </c>
      <c r="AM391" s="132">
        <f t="shared" si="1387"/>
        <v>1120.4308248151201</v>
      </c>
      <c r="AN391" s="132">
        <f t="shared" si="1387"/>
        <v>974.28767375227847</v>
      </c>
      <c r="AO391" s="165" t="s">
        <v>50</v>
      </c>
    </row>
    <row r="392" spans="1:41" x14ac:dyDescent="0.25">
      <c r="A392" s="131"/>
      <c r="B392" s="63">
        <v>100</v>
      </c>
      <c r="C392" s="63">
        <v>4000</v>
      </c>
      <c r="D392" s="63">
        <v>7900</v>
      </c>
      <c r="E392" s="63">
        <v>250</v>
      </c>
      <c r="F392" s="63" t="s">
        <v>52</v>
      </c>
      <c r="G392" s="64">
        <f>+'Payroll Input'!$O154</f>
        <v>21</v>
      </c>
      <c r="H392" s="64">
        <f>+SUM('Payroll Input'!$O$147:$O$149)</f>
        <v>12.6</v>
      </c>
      <c r="I392" s="64">
        <f>+SUM('Payroll Input'!$O$151:$O$153)</f>
        <v>8.4</v>
      </c>
      <c r="J392" s="129" t="str">
        <f t="shared" si="1365"/>
        <v>*</v>
      </c>
      <c r="L392" s="132">
        <f t="shared" si="1150"/>
        <v>21</v>
      </c>
      <c r="M392" s="132">
        <f t="shared" si="1373"/>
        <v>0</v>
      </c>
      <c r="N392" s="130"/>
      <c r="O392" s="136"/>
      <c r="P392" s="136">
        <f t="shared" si="1379"/>
        <v>0</v>
      </c>
      <c r="Q392" s="136">
        <f t="shared" si="1374"/>
        <v>0</v>
      </c>
      <c r="R392" s="136">
        <f t="shared" si="1375"/>
        <v>0</v>
      </c>
      <c r="S392" s="136">
        <f t="shared" si="1376"/>
        <v>0</v>
      </c>
      <c r="T392" s="136">
        <f t="shared" si="1277"/>
        <v>0</v>
      </c>
      <c r="U392" s="136">
        <f t="shared" si="1277"/>
        <v>0</v>
      </c>
      <c r="V392" s="136">
        <f t="shared" si="1377"/>
        <v>0</v>
      </c>
      <c r="W392" s="136">
        <f t="shared" si="1378"/>
        <v>0</v>
      </c>
      <c r="X392" s="130">
        <f t="shared" si="1227"/>
        <v>0</v>
      </c>
      <c r="Z392" s="132">
        <f t="shared" si="1383"/>
        <v>25.77476086956522</v>
      </c>
      <c r="AA392" s="132">
        <f t="shared" si="1384"/>
        <v>13.7865</v>
      </c>
      <c r="AB392" s="132">
        <f t="shared" si="1384"/>
        <v>11.98826086956522</v>
      </c>
      <c r="AC392" s="129"/>
      <c r="AD392" s="103">
        <f t="shared" si="1380"/>
        <v>26.032508478260873</v>
      </c>
      <c r="AE392" s="132">
        <f t="shared" si="1385"/>
        <v>13.924365000000002</v>
      </c>
      <c r="AF392" s="132">
        <f t="shared" si="1385"/>
        <v>12.108143478260871</v>
      </c>
      <c r="AG392" s="129"/>
      <c r="AH392" s="103">
        <f t="shared" si="1381"/>
        <v>28.315359221739136</v>
      </c>
      <c r="AI392" s="132">
        <f t="shared" si="1386"/>
        <v>15.145424700000001</v>
      </c>
      <c r="AJ392" s="132">
        <f t="shared" si="1386"/>
        <v>13.169934521739133</v>
      </c>
      <c r="AK392" s="129"/>
      <c r="AL392" s="103">
        <f t="shared" si="1382"/>
        <v>28.598512813956528</v>
      </c>
      <c r="AM392" s="132">
        <f t="shared" si="1387"/>
        <v>15.296878947000002</v>
      </c>
      <c r="AN392" s="132">
        <f t="shared" si="1387"/>
        <v>13.301633866956527</v>
      </c>
      <c r="AO392" s="165" t="s">
        <v>50</v>
      </c>
    </row>
    <row r="393" spans="1:41" ht="13.2" hidden="1" customHeight="1" x14ac:dyDescent="0.25">
      <c r="A393" s="131"/>
      <c r="B393" s="63"/>
      <c r="C393" s="63"/>
      <c r="D393" s="63"/>
      <c r="E393" s="63"/>
      <c r="F393" s="63"/>
      <c r="G393" s="64"/>
      <c r="H393" s="64"/>
      <c r="I393" s="64"/>
      <c r="J393" s="129" t="str">
        <f t="shared" si="1365"/>
        <v/>
      </c>
      <c r="L393" s="132">
        <f t="shared" si="1150"/>
        <v>0</v>
      </c>
      <c r="M393" s="132">
        <f t="shared" si="1373"/>
        <v>0</v>
      </c>
      <c r="N393" s="130"/>
      <c r="O393" s="136"/>
      <c r="P393" s="136">
        <f t="shared" si="1379"/>
        <v>0</v>
      </c>
      <c r="Q393" s="136">
        <f t="shared" si="1374"/>
        <v>0</v>
      </c>
      <c r="R393" s="136">
        <f t="shared" si="1375"/>
        <v>0</v>
      </c>
      <c r="S393" s="136">
        <f t="shared" si="1376"/>
        <v>0</v>
      </c>
      <c r="T393" s="136">
        <f t="shared" si="1277"/>
        <v>0</v>
      </c>
      <c r="U393" s="136">
        <f t="shared" si="1277"/>
        <v>0</v>
      </c>
      <c r="V393" s="136">
        <f t="shared" si="1377"/>
        <v>0</v>
      </c>
      <c r="W393" s="136">
        <f t="shared" si="1378"/>
        <v>0</v>
      </c>
      <c r="X393" s="130">
        <f t="shared" si="1227"/>
        <v>0</v>
      </c>
      <c r="Z393" s="64"/>
      <c r="AA393" s="64"/>
      <c r="AB393" s="64"/>
      <c r="AD393" s="64"/>
      <c r="AE393" s="64"/>
      <c r="AF393" s="64"/>
      <c r="AH393" s="64"/>
      <c r="AI393" s="64"/>
      <c r="AJ393" s="64"/>
      <c r="AL393" s="64"/>
      <c r="AM393" s="64"/>
      <c r="AN393" s="64"/>
      <c r="AO393" s="165"/>
    </row>
    <row r="394" spans="1:41" x14ac:dyDescent="0.25">
      <c r="A394" s="131"/>
      <c r="B394" s="63">
        <f>'Expense Input'!B118</f>
        <v>100</v>
      </c>
      <c r="C394" s="63">
        <f>'Expense Input'!C118</f>
        <v>4000</v>
      </c>
      <c r="D394" s="63">
        <f>'Expense Input'!D118</f>
        <v>7900</v>
      </c>
      <c r="E394" s="63">
        <f>'Expense Input'!E118</f>
        <v>310</v>
      </c>
      <c r="F394" s="63" t="str">
        <f>'Expense Input'!F118</f>
        <v>Contracted Services</v>
      </c>
      <c r="G394" s="64">
        <f>'Expense Input'!Q118</f>
        <v>833.25</v>
      </c>
      <c r="H394" s="64">
        <f>'Expense Input'!R118</f>
        <v>833.25</v>
      </c>
      <c r="I394" s="64">
        <f>'Expense Input'!S118</f>
        <v>0</v>
      </c>
      <c r="J394" s="129" t="str">
        <f t="shared" si="1365"/>
        <v>*</v>
      </c>
      <c r="L394" s="132">
        <f t="shared" si="1150"/>
        <v>0</v>
      </c>
      <c r="M394" s="132">
        <f t="shared" si="1373"/>
        <v>833.25</v>
      </c>
      <c r="N394" s="130"/>
      <c r="O394" s="136"/>
      <c r="P394" s="136">
        <f t="shared" si="1379"/>
        <v>0</v>
      </c>
      <c r="Q394" s="136">
        <f t="shared" si="1374"/>
        <v>0</v>
      </c>
      <c r="R394" s="136">
        <f t="shared" si="1375"/>
        <v>0</v>
      </c>
      <c r="S394" s="136">
        <f t="shared" si="1376"/>
        <v>0</v>
      </c>
      <c r="T394" s="136">
        <f t="shared" si="1277"/>
        <v>0</v>
      </c>
      <c r="U394" s="136">
        <f t="shared" si="1277"/>
        <v>0</v>
      </c>
      <c r="V394" s="136">
        <f t="shared" si="1377"/>
        <v>0</v>
      </c>
      <c r="W394" s="136">
        <f t="shared" si="1378"/>
        <v>0</v>
      </c>
      <c r="X394" s="130">
        <f t="shared" si="1227"/>
        <v>0</v>
      </c>
      <c r="Z394" s="64">
        <f t="shared" ref="Z394:Z411" si="1388">AA394+AB394</f>
        <v>841.58249999999998</v>
      </c>
      <c r="AA394" s="64">
        <f t="shared" ref="AA394:AA411" si="1389">+H394*Inf</f>
        <v>841.58249999999998</v>
      </c>
      <c r="AB394" s="64">
        <f t="shared" ref="AB394:AB411" si="1390">+I394*Inf</f>
        <v>0</v>
      </c>
      <c r="AD394" s="64">
        <f t="shared" ref="AD394:AD411" si="1391">AE394+AF394</f>
        <v>849.99832500000002</v>
      </c>
      <c r="AE394" s="64">
        <f t="shared" ref="AE394:AE411" si="1392">+AA394*Inf</f>
        <v>849.99832500000002</v>
      </c>
      <c r="AF394" s="64">
        <f t="shared" ref="AF394:AF411" si="1393">+AB394*Inf</f>
        <v>0</v>
      </c>
      <c r="AH394" s="64">
        <f t="shared" ref="AH394:AH411" si="1394">AI394+AJ394</f>
        <v>858.49830825000004</v>
      </c>
      <c r="AI394" s="64">
        <f t="shared" ref="AI394:AI411" si="1395">+AE394*Inf</f>
        <v>858.49830825000004</v>
      </c>
      <c r="AJ394" s="64">
        <f t="shared" ref="AJ394:AJ411" si="1396">+AF394*Inf</f>
        <v>0</v>
      </c>
      <c r="AL394" s="64">
        <f t="shared" ref="AL394:AL411" si="1397">AM394+AN394</f>
        <v>867.08329133250004</v>
      </c>
      <c r="AM394" s="64">
        <f t="shared" ref="AM394:AM411" si="1398">+AI394*Inf</f>
        <v>867.08329133250004</v>
      </c>
      <c r="AN394" s="64">
        <f t="shared" ref="AN394:AN411" si="1399">+AJ394*Inf</f>
        <v>0</v>
      </c>
      <c r="AO394" s="165" t="s">
        <v>35</v>
      </c>
    </row>
    <row r="395" spans="1:41" hidden="1" x14ac:dyDescent="0.25">
      <c r="A395" s="131"/>
      <c r="B395" s="63">
        <f>'Expense Input'!B119</f>
        <v>495</v>
      </c>
      <c r="C395" s="63">
        <f>'Expense Input'!C119</f>
        <v>4000</v>
      </c>
      <c r="D395" s="63">
        <f>'Expense Input'!D119</f>
        <v>7900</v>
      </c>
      <c r="E395" s="63">
        <f>'Expense Input'!E119</f>
        <v>310</v>
      </c>
      <c r="F395" s="63" t="str">
        <f>'Expense Input'!F119</f>
        <v>Contracted Services</v>
      </c>
      <c r="G395" s="64">
        <f>'Expense Input'!Q119</f>
        <v>0</v>
      </c>
      <c r="H395" s="64">
        <f>'Expense Input'!R119</f>
        <v>0</v>
      </c>
      <c r="I395" s="64">
        <f>'Expense Input'!S119</f>
        <v>0</v>
      </c>
      <c r="J395" s="129" t="str">
        <f t="shared" ref="J395:J401" si="1400">IF(G395&gt;0.49,"*","")</f>
        <v/>
      </c>
      <c r="L395" s="132">
        <f t="shared" si="1150"/>
        <v>0</v>
      </c>
      <c r="M395" s="132">
        <f t="shared" si="1373"/>
        <v>0</v>
      </c>
      <c r="N395" s="130"/>
      <c r="O395" s="136"/>
      <c r="P395" s="136">
        <f t="shared" si="1379"/>
        <v>0</v>
      </c>
      <c r="Q395" s="136">
        <f t="shared" si="1374"/>
        <v>0</v>
      </c>
      <c r="R395" s="136">
        <f t="shared" si="1375"/>
        <v>0</v>
      </c>
      <c r="S395" s="136">
        <f t="shared" si="1376"/>
        <v>0</v>
      </c>
      <c r="T395" s="136">
        <f t="shared" si="1277"/>
        <v>0</v>
      </c>
      <c r="U395" s="136">
        <f t="shared" si="1277"/>
        <v>0</v>
      </c>
      <c r="V395" s="136">
        <f t="shared" si="1377"/>
        <v>0</v>
      </c>
      <c r="W395" s="136">
        <f t="shared" si="1378"/>
        <v>0</v>
      </c>
      <c r="X395" s="130">
        <f t="shared" si="1227"/>
        <v>0</v>
      </c>
      <c r="Z395" s="64">
        <f t="shared" si="1388"/>
        <v>0</v>
      </c>
      <c r="AA395" s="64">
        <f t="shared" si="1389"/>
        <v>0</v>
      </c>
      <c r="AB395" s="64">
        <f t="shared" si="1390"/>
        <v>0</v>
      </c>
      <c r="AD395" s="64">
        <f t="shared" si="1391"/>
        <v>0</v>
      </c>
      <c r="AE395" s="64">
        <f t="shared" si="1392"/>
        <v>0</v>
      </c>
      <c r="AF395" s="64">
        <f t="shared" si="1393"/>
        <v>0</v>
      </c>
      <c r="AH395" s="64">
        <f t="shared" si="1394"/>
        <v>0</v>
      </c>
      <c r="AI395" s="64">
        <f t="shared" si="1395"/>
        <v>0</v>
      </c>
      <c r="AJ395" s="64">
        <f t="shared" si="1396"/>
        <v>0</v>
      </c>
      <c r="AL395" s="64">
        <f t="shared" si="1397"/>
        <v>0</v>
      </c>
      <c r="AM395" s="64">
        <f t="shared" si="1398"/>
        <v>0</v>
      </c>
      <c r="AN395" s="64">
        <f t="shared" si="1399"/>
        <v>0</v>
      </c>
      <c r="AO395" s="165" t="s">
        <v>35</v>
      </c>
    </row>
    <row r="396" spans="1:41" x14ac:dyDescent="0.25">
      <c r="A396" s="131"/>
      <c r="B396" s="63">
        <f>'Expense Input'!B120</f>
        <v>100</v>
      </c>
      <c r="C396" s="63">
        <f>'Expense Input'!C120</f>
        <v>4000</v>
      </c>
      <c r="D396" s="63">
        <f>'Expense Input'!D120</f>
        <v>7900</v>
      </c>
      <c r="E396" s="63">
        <f>'Expense Input'!E120</f>
        <v>311</v>
      </c>
      <c r="F396" s="63" t="str">
        <f>'Expense Input'!F120</f>
        <v>Security Services</v>
      </c>
      <c r="G396" s="64">
        <f>'Expense Input'!Q120</f>
        <v>63032.271900000007</v>
      </c>
      <c r="H396" s="64">
        <f>'Expense Input'!R120</f>
        <v>34667.749545000006</v>
      </c>
      <c r="I396" s="64">
        <f>'Expense Input'!S120</f>
        <v>28364.522355000005</v>
      </c>
      <c r="J396" s="129" t="str">
        <f t="shared" si="1400"/>
        <v>*</v>
      </c>
      <c r="L396" s="132">
        <f t="shared" ref="L396" si="1401">IF(E396&lt;300,G396,0)</f>
        <v>0</v>
      </c>
      <c r="M396" s="132">
        <f t="shared" ref="M396" si="1402">IF(E396&gt;299,G396,0)</f>
        <v>63032.271900000007</v>
      </c>
      <c r="N396" s="130"/>
      <c r="O396" s="136"/>
      <c r="P396" s="136">
        <f t="shared" ref="P396" si="1403">IF(B396=490,G396,0)</f>
        <v>0</v>
      </c>
      <c r="Q396" s="136">
        <f t="shared" ref="Q396" si="1404">IF(B396=410,H396,0)</f>
        <v>0</v>
      </c>
      <c r="R396" s="136">
        <f t="shared" ref="R396" si="1405">IF(B396=432,H396,0)</f>
        <v>0</v>
      </c>
      <c r="S396" s="136">
        <f t="shared" ref="S396" si="1406">IF(B396=432,I396,0)</f>
        <v>0</v>
      </c>
      <c r="T396" s="136">
        <f t="shared" si="1277"/>
        <v>0</v>
      </c>
      <c r="U396" s="136">
        <f t="shared" si="1277"/>
        <v>0</v>
      </c>
      <c r="V396" s="136">
        <f t="shared" ref="V396" si="1407">IF(B396=360,I396,0)</f>
        <v>0</v>
      </c>
      <c r="W396" s="136">
        <f t="shared" ref="W396" si="1408">IF(B396=410,I396,0)</f>
        <v>0</v>
      </c>
      <c r="X396" s="130">
        <f t="shared" ref="X396" si="1409">+W396+Q396-O396</f>
        <v>0</v>
      </c>
      <c r="Z396" s="64">
        <f t="shared" si="1388"/>
        <v>63662.59461900001</v>
      </c>
      <c r="AA396" s="64">
        <f t="shared" si="1389"/>
        <v>35014.427040450006</v>
      </c>
      <c r="AB396" s="64">
        <f t="shared" si="1390"/>
        <v>28648.167578550005</v>
      </c>
      <c r="AD396" s="64">
        <f t="shared" si="1391"/>
        <v>64299.220565190015</v>
      </c>
      <c r="AE396" s="64">
        <f t="shared" si="1392"/>
        <v>35364.57131085451</v>
      </c>
      <c r="AF396" s="64">
        <f t="shared" si="1393"/>
        <v>28934.649254335505</v>
      </c>
      <c r="AH396" s="64">
        <f t="shared" si="1394"/>
        <v>64942.212770841914</v>
      </c>
      <c r="AI396" s="64">
        <f t="shared" si="1395"/>
        <v>35718.217023963058</v>
      </c>
      <c r="AJ396" s="64">
        <f t="shared" si="1396"/>
        <v>29223.99574687886</v>
      </c>
      <c r="AL396" s="64">
        <f t="shared" si="1397"/>
        <v>65591.634898550343</v>
      </c>
      <c r="AM396" s="64">
        <f t="shared" si="1398"/>
        <v>36075.399194202691</v>
      </c>
      <c r="AN396" s="64">
        <f t="shared" si="1399"/>
        <v>29516.235704347648</v>
      </c>
      <c r="AO396" s="165" t="s">
        <v>35</v>
      </c>
    </row>
    <row r="397" spans="1:41" x14ac:dyDescent="0.25">
      <c r="A397" s="131"/>
      <c r="B397" s="63">
        <f>'Expense Input'!B121</f>
        <v>100</v>
      </c>
      <c r="C397" s="63">
        <f>'Expense Input'!C121</f>
        <v>4000</v>
      </c>
      <c r="D397" s="63">
        <f>'Expense Input'!D121</f>
        <v>7900</v>
      </c>
      <c r="E397" s="63">
        <f>'Expense Input'!E121</f>
        <v>320</v>
      </c>
      <c r="F397" s="63" t="str">
        <f>'Expense Input'!F121</f>
        <v>Insurances</v>
      </c>
      <c r="G397" s="64">
        <f>'Expense Input'!Q121</f>
        <v>77924.716800000009</v>
      </c>
      <c r="H397" s="64">
        <f>'Expense Input'!R121</f>
        <v>43832.653200000008</v>
      </c>
      <c r="I397" s="64">
        <f>'Expense Input'!S121</f>
        <v>34092.063600000001</v>
      </c>
      <c r="J397" s="129" t="str">
        <f t="shared" ref="J397:J400" si="1410">IF(G397&gt;0.49,"*","")</f>
        <v>*</v>
      </c>
      <c r="L397" s="132">
        <f t="shared" si="1150"/>
        <v>0</v>
      </c>
      <c r="M397" s="132">
        <f t="shared" si="1373"/>
        <v>77924.716800000009</v>
      </c>
      <c r="N397" s="130"/>
      <c r="O397" s="136"/>
      <c r="P397" s="136">
        <f t="shared" si="1379"/>
        <v>0</v>
      </c>
      <c r="Q397" s="136">
        <f t="shared" si="1374"/>
        <v>0</v>
      </c>
      <c r="R397" s="136">
        <f t="shared" si="1375"/>
        <v>0</v>
      </c>
      <c r="S397" s="136">
        <f t="shared" si="1376"/>
        <v>0</v>
      </c>
      <c r="T397" s="136">
        <f t="shared" si="1277"/>
        <v>0</v>
      </c>
      <c r="U397" s="136">
        <f t="shared" si="1277"/>
        <v>0</v>
      </c>
      <c r="V397" s="136">
        <f t="shared" si="1377"/>
        <v>0</v>
      </c>
      <c r="W397" s="136">
        <f t="shared" si="1378"/>
        <v>0</v>
      </c>
      <c r="X397" s="130">
        <f t="shared" si="1227"/>
        <v>0</v>
      </c>
      <c r="Z397" s="64">
        <f t="shared" si="1388"/>
        <v>78703.963968000011</v>
      </c>
      <c r="AA397" s="64">
        <f t="shared" si="1389"/>
        <v>44270.979732000007</v>
      </c>
      <c r="AB397" s="64">
        <f t="shared" si="1390"/>
        <v>34432.984236000004</v>
      </c>
      <c r="AD397" s="64">
        <f t="shared" si="1391"/>
        <v>79491.003607680002</v>
      </c>
      <c r="AE397" s="64">
        <f t="shared" si="1392"/>
        <v>44713.689529320007</v>
      </c>
      <c r="AF397" s="64">
        <f t="shared" si="1393"/>
        <v>34777.314078360003</v>
      </c>
      <c r="AH397" s="64">
        <f t="shared" si="1394"/>
        <v>80285.913643756823</v>
      </c>
      <c r="AI397" s="64">
        <f t="shared" si="1395"/>
        <v>45160.826424613209</v>
      </c>
      <c r="AJ397" s="64">
        <f t="shared" si="1396"/>
        <v>35125.087219143606</v>
      </c>
      <c r="AL397" s="64">
        <f t="shared" si="1397"/>
        <v>81088.772780194384</v>
      </c>
      <c r="AM397" s="64">
        <f t="shared" si="1398"/>
        <v>45612.434688859343</v>
      </c>
      <c r="AN397" s="64">
        <f t="shared" si="1399"/>
        <v>35476.338091335041</v>
      </c>
      <c r="AO397" s="165" t="s">
        <v>35</v>
      </c>
    </row>
    <row r="398" spans="1:41" hidden="1" x14ac:dyDescent="0.25">
      <c r="A398" s="131"/>
      <c r="B398" s="63">
        <f>'Expense Input'!B122</f>
        <v>360</v>
      </c>
      <c r="C398" s="63">
        <f>'Expense Input'!C122</f>
        <v>4000</v>
      </c>
      <c r="D398" s="63">
        <f>'Expense Input'!D122</f>
        <v>7900</v>
      </c>
      <c r="E398" s="63">
        <f>'Expense Input'!E122</f>
        <v>320</v>
      </c>
      <c r="F398" s="63" t="str">
        <f>'Expense Input'!F122</f>
        <v>Insurances</v>
      </c>
      <c r="G398" s="64">
        <f>'Expense Input'!Q122</f>
        <v>0</v>
      </c>
      <c r="H398" s="64">
        <f>'Expense Input'!R122</f>
        <v>0</v>
      </c>
      <c r="I398" s="64">
        <f>'Expense Input'!S122</f>
        <v>0</v>
      </c>
      <c r="J398" s="129" t="str">
        <f t="shared" ref="J398:J399" si="1411">IF(G398&gt;0.49,"*","")</f>
        <v/>
      </c>
      <c r="L398" s="132">
        <f t="shared" si="1150"/>
        <v>0</v>
      </c>
      <c r="M398" s="132">
        <f t="shared" si="1373"/>
        <v>0</v>
      </c>
      <c r="N398" s="130"/>
      <c r="O398" s="136"/>
      <c r="P398" s="136">
        <f t="shared" si="1379"/>
        <v>0</v>
      </c>
      <c r="Q398" s="136">
        <f t="shared" si="1374"/>
        <v>0</v>
      </c>
      <c r="R398" s="136">
        <f t="shared" si="1375"/>
        <v>0</v>
      </c>
      <c r="S398" s="136">
        <f t="shared" si="1376"/>
        <v>0</v>
      </c>
      <c r="T398" s="136">
        <f t="shared" si="1277"/>
        <v>0</v>
      </c>
      <c r="U398" s="136">
        <f t="shared" si="1277"/>
        <v>0</v>
      </c>
      <c r="V398" s="136">
        <f t="shared" si="1377"/>
        <v>0</v>
      </c>
      <c r="W398" s="136">
        <f t="shared" si="1378"/>
        <v>0</v>
      </c>
      <c r="X398" s="130">
        <f t="shared" si="1227"/>
        <v>0</v>
      </c>
      <c r="Z398" s="64">
        <f t="shared" si="1388"/>
        <v>0</v>
      </c>
      <c r="AA398" s="64">
        <f t="shared" si="1389"/>
        <v>0</v>
      </c>
      <c r="AB398" s="64">
        <f t="shared" si="1390"/>
        <v>0</v>
      </c>
      <c r="AD398" s="64">
        <f t="shared" si="1391"/>
        <v>0</v>
      </c>
      <c r="AE398" s="64">
        <f t="shared" si="1392"/>
        <v>0</v>
      </c>
      <c r="AF398" s="64">
        <f t="shared" si="1393"/>
        <v>0</v>
      </c>
      <c r="AH398" s="64">
        <f t="shared" si="1394"/>
        <v>0</v>
      </c>
      <c r="AI398" s="64">
        <f t="shared" si="1395"/>
        <v>0</v>
      </c>
      <c r="AJ398" s="64">
        <f t="shared" si="1396"/>
        <v>0</v>
      </c>
      <c r="AL398" s="64">
        <f t="shared" si="1397"/>
        <v>0</v>
      </c>
      <c r="AM398" s="64">
        <f t="shared" si="1398"/>
        <v>0</v>
      </c>
      <c r="AN398" s="64">
        <f t="shared" si="1399"/>
        <v>0</v>
      </c>
      <c r="AO398" s="165" t="s">
        <v>35</v>
      </c>
    </row>
    <row r="399" spans="1:41" s="1" customFormat="1" ht="13.2" customHeight="1" x14ac:dyDescent="0.25">
      <c r="A399" s="131"/>
      <c r="B399" s="63">
        <f>'Expense Input'!B123</f>
        <v>100</v>
      </c>
      <c r="C399" s="63">
        <f>'Expense Input'!C123</f>
        <v>4000</v>
      </c>
      <c r="D399" s="63">
        <f>'Expense Input'!D123</f>
        <v>7900</v>
      </c>
      <c r="E399" s="63">
        <f>'Expense Input'!E123</f>
        <v>351</v>
      </c>
      <c r="F399" s="63" t="str">
        <f>'Expense Input'!F123</f>
        <v>Contract Custodial Service</v>
      </c>
      <c r="G399" s="64">
        <f>'Expense Input'!Q123</f>
        <v>56998.267857142855</v>
      </c>
      <c r="H399" s="64">
        <f>'Expense Input'!R123</f>
        <v>27508.157999999992</v>
      </c>
      <c r="I399" s="64">
        <f>'Expense Input'!S123</f>
        <v>29490.109857142859</v>
      </c>
      <c r="J399" s="129" t="str">
        <f t="shared" si="1411"/>
        <v>*</v>
      </c>
      <c r="K399" s="129"/>
      <c r="L399" s="132">
        <f t="shared" si="1150"/>
        <v>0</v>
      </c>
      <c r="M399" s="132">
        <f t="shared" si="1373"/>
        <v>56998.267857142855</v>
      </c>
      <c r="N399" s="130"/>
      <c r="O399" s="136"/>
      <c r="P399" s="136">
        <f t="shared" si="1379"/>
        <v>0</v>
      </c>
      <c r="Q399" s="136">
        <f t="shared" si="1374"/>
        <v>0</v>
      </c>
      <c r="R399" s="136">
        <f t="shared" si="1375"/>
        <v>0</v>
      </c>
      <c r="S399" s="136">
        <f t="shared" si="1376"/>
        <v>0</v>
      </c>
      <c r="T399" s="136">
        <f t="shared" si="1277"/>
        <v>0</v>
      </c>
      <c r="U399" s="136">
        <f t="shared" si="1277"/>
        <v>0</v>
      </c>
      <c r="V399" s="136">
        <f t="shared" si="1377"/>
        <v>0</v>
      </c>
      <c r="W399" s="136">
        <f t="shared" si="1378"/>
        <v>0</v>
      </c>
      <c r="X399" s="130">
        <f t="shared" si="1227"/>
        <v>0</v>
      </c>
      <c r="Y399" s="129"/>
      <c r="Z399" s="64">
        <f t="shared" si="1388"/>
        <v>57568.25053571428</v>
      </c>
      <c r="AA399" s="64">
        <f t="shared" si="1389"/>
        <v>27783.239579999994</v>
      </c>
      <c r="AB399" s="64">
        <f t="shared" si="1390"/>
        <v>29785.01095571429</v>
      </c>
      <c r="AC399" s="77"/>
      <c r="AD399" s="64">
        <f t="shared" si="1391"/>
        <v>58143.933041071432</v>
      </c>
      <c r="AE399" s="64">
        <f t="shared" si="1392"/>
        <v>28061.071975799994</v>
      </c>
      <c r="AF399" s="64">
        <f t="shared" si="1393"/>
        <v>30082.861065271434</v>
      </c>
      <c r="AG399" s="77"/>
      <c r="AH399" s="64">
        <f t="shared" si="1394"/>
        <v>58725.372371482139</v>
      </c>
      <c r="AI399" s="64">
        <f t="shared" si="1395"/>
        <v>28341.682695557993</v>
      </c>
      <c r="AJ399" s="64">
        <f t="shared" si="1396"/>
        <v>30383.68967592415</v>
      </c>
      <c r="AK399" s="77"/>
      <c r="AL399" s="64">
        <f t="shared" si="1397"/>
        <v>59312.626095196967</v>
      </c>
      <c r="AM399" s="64">
        <f t="shared" si="1398"/>
        <v>28625.099522513574</v>
      </c>
      <c r="AN399" s="64">
        <f t="shared" si="1399"/>
        <v>30687.526572683393</v>
      </c>
      <c r="AO399" s="165" t="s">
        <v>35</v>
      </c>
    </row>
    <row r="400" spans="1:41" ht="13.2" hidden="1" customHeight="1" x14ac:dyDescent="0.25">
      <c r="A400" s="131"/>
      <c r="B400" s="63">
        <f>'Expense Input'!B124</f>
        <v>100</v>
      </c>
      <c r="C400" s="63">
        <f>'Expense Input'!C124</f>
        <v>4000</v>
      </c>
      <c r="D400" s="63">
        <f>'Expense Input'!D124</f>
        <v>7900</v>
      </c>
      <c r="E400" s="63">
        <f>'Expense Input'!E124</f>
        <v>360</v>
      </c>
      <c r="F400" s="63" t="str">
        <f>'Expense Input'!F124</f>
        <v>Rentals</v>
      </c>
      <c r="G400" s="64">
        <f>'Expense Input'!Q124</f>
        <v>0</v>
      </c>
      <c r="H400" s="64">
        <f>'Expense Input'!R124</f>
        <v>0</v>
      </c>
      <c r="I400" s="64">
        <f>'Expense Input'!S124</f>
        <v>0</v>
      </c>
      <c r="J400" s="129" t="str">
        <f t="shared" si="1410"/>
        <v/>
      </c>
      <c r="L400" s="132">
        <f t="shared" si="1150"/>
        <v>0</v>
      </c>
      <c r="M400" s="132">
        <f t="shared" si="1373"/>
        <v>0</v>
      </c>
      <c r="N400" s="130"/>
      <c r="O400" s="136"/>
      <c r="P400" s="136">
        <f t="shared" si="1379"/>
        <v>0</v>
      </c>
      <c r="Q400" s="136">
        <f t="shared" si="1374"/>
        <v>0</v>
      </c>
      <c r="R400" s="136">
        <f t="shared" si="1375"/>
        <v>0</v>
      </c>
      <c r="S400" s="136">
        <f t="shared" si="1376"/>
        <v>0</v>
      </c>
      <c r="T400" s="136">
        <f t="shared" si="1277"/>
        <v>0</v>
      </c>
      <c r="U400" s="136">
        <f t="shared" si="1277"/>
        <v>0</v>
      </c>
      <c r="V400" s="136">
        <f t="shared" si="1377"/>
        <v>0</v>
      </c>
      <c r="W400" s="136">
        <f t="shared" si="1378"/>
        <v>0</v>
      </c>
      <c r="X400" s="130">
        <f t="shared" si="1227"/>
        <v>0</v>
      </c>
      <c r="Z400" s="64">
        <f t="shared" si="1388"/>
        <v>0</v>
      </c>
      <c r="AA400" s="64">
        <f t="shared" si="1389"/>
        <v>0</v>
      </c>
      <c r="AB400" s="64">
        <f>+I400*Inf*0</f>
        <v>0</v>
      </c>
      <c r="AD400" s="64">
        <f t="shared" si="1391"/>
        <v>0</v>
      </c>
      <c r="AE400" s="64">
        <f t="shared" si="1392"/>
        <v>0</v>
      </c>
      <c r="AF400" s="64">
        <f t="shared" si="1393"/>
        <v>0</v>
      </c>
      <c r="AH400" s="64">
        <f t="shared" si="1394"/>
        <v>0</v>
      </c>
      <c r="AI400" s="64">
        <f t="shared" si="1395"/>
        <v>0</v>
      </c>
      <c r="AJ400" s="64">
        <f t="shared" si="1396"/>
        <v>0</v>
      </c>
      <c r="AL400" s="64">
        <f t="shared" si="1397"/>
        <v>0</v>
      </c>
      <c r="AM400" s="64">
        <f t="shared" si="1398"/>
        <v>0</v>
      </c>
      <c r="AN400" s="64">
        <f t="shared" si="1399"/>
        <v>0</v>
      </c>
      <c r="AO400" s="165" t="s">
        <v>36</v>
      </c>
    </row>
    <row r="401" spans="1:41" ht="13.2" hidden="1" customHeight="1" x14ac:dyDescent="0.25">
      <c r="A401" s="131"/>
      <c r="B401" s="63">
        <f>'Expense Input'!B125</f>
        <v>495</v>
      </c>
      <c r="C401" s="63">
        <f>'Expense Input'!C125</f>
        <v>4000</v>
      </c>
      <c r="D401" s="63">
        <f>'Expense Input'!D125</f>
        <v>7900</v>
      </c>
      <c r="E401" s="63">
        <f>'Expense Input'!E125</f>
        <v>360</v>
      </c>
      <c r="F401" s="63" t="str">
        <f>'Expense Input'!F125</f>
        <v>Rental</v>
      </c>
      <c r="G401" s="64">
        <f>'Expense Input'!Q125</f>
        <v>0</v>
      </c>
      <c r="H401" s="64">
        <f>'Expense Input'!R125</f>
        <v>0</v>
      </c>
      <c r="I401" s="64">
        <f>'Expense Input'!S125</f>
        <v>0</v>
      </c>
      <c r="J401" s="129" t="str">
        <f t="shared" si="1400"/>
        <v/>
      </c>
      <c r="L401" s="132">
        <f t="shared" si="1150"/>
        <v>0</v>
      </c>
      <c r="M401" s="132">
        <f t="shared" si="1373"/>
        <v>0</v>
      </c>
      <c r="N401" s="130"/>
      <c r="O401" s="136"/>
      <c r="P401" s="136">
        <f t="shared" si="1379"/>
        <v>0</v>
      </c>
      <c r="Q401" s="136">
        <f t="shared" si="1374"/>
        <v>0</v>
      </c>
      <c r="R401" s="136">
        <f t="shared" si="1375"/>
        <v>0</v>
      </c>
      <c r="S401" s="136">
        <f t="shared" si="1376"/>
        <v>0</v>
      </c>
      <c r="T401" s="136">
        <f t="shared" si="1277"/>
        <v>0</v>
      </c>
      <c r="U401" s="136">
        <f t="shared" si="1277"/>
        <v>0</v>
      </c>
      <c r="V401" s="136">
        <f t="shared" si="1377"/>
        <v>0</v>
      </c>
      <c r="W401" s="136">
        <f t="shared" si="1378"/>
        <v>0</v>
      </c>
      <c r="X401" s="130">
        <f t="shared" si="1227"/>
        <v>0</v>
      </c>
      <c r="Z401" s="64">
        <f t="shared" si="1388"/>
        <v>0</v>
      </c>
      <c r="AA401" s="64">
        <f t="shared" si="1389"/>
        <v>0</v>
      </c>
      <c r="AB401" s="64">
        <f t="shared" si="1390"/>
        <v>0</v>
      </c>
      <c r="AD401" s="64">
        <f t="shared" si="1391"/>
        <v>0</v>
      </c>
      <c r="AE401" s="64">
        <f t="shared" si="1392"/>
        <v>0</v>
      </c>
      <c r="AF401" s="64">
        <f t="shared" si="1393"/>
        <v>0</v>
      </c>
      <c r="AH401" s="64">
        <f t="shared" si="1394"/>
        <v>0</v>
      </c>
      <c r="AI401" s="64">
        <f t="shared" si="1395"/>
        <v>0</v>
      </c>
      <c r="AJ401" s="64">
        <f t="shared" si="1396"/>
        <v>0</v>
      </c>
      <c r="AL401" s="64">
        <f t="shared" si="1397"/>
        <v>0</v>
      </c>
      <c r="AM401" s="64">
        <f t="shared" si="1398"/>
        <v>0</v>
      </c>
      <c r="AN401" s="64">
        <f t="shared" si="1399"/>
        <v>0</v>
      </c>
      <c r="AO401" s="165" t="s">
        <v>35</v>
      </c>
    </row>
    <row r="402" spans="1:41" s="1" customFormat="1" ht="13.2" customHeight="1" x14ac:dyDescent="0.25">
      <c r="A402" s="131"/>
      <c r="B402" s="63">
        <f>'Expense Input'!B126</f>
        <v>100</v>
      </c>
      <c r="C402" s="63">
        <f>'Expense Input'!C126</f>
        <v>4000</v>
      </c>
      <c r="D402" s="63">
        <f>'Expense Input'!D126</f>
        <v>7900</v>
      </c>
      <c r="E402" s="63">
        <f>'Expense Input'!E126</f>
        <v>379</v>
      </c>
      <c r="F402" s="63" t="str">
        <f>'Expense Input'!F126</f>
        <v>Communications</v>
      </c>
      <c r="G402" s="64">
        <f>'Expense Input'!Q126</f>
        <v>9381.7822666666652</v>
      </c>
      <c r="H402" s="64">
        <f>'Expense Input'!R126</f>
        <v>5159.9802466666661</v>
      </c>
      <c r="I402" s="64">
        <f>'Expense Input'!S126</f>
        <v>4221.8020199999992</v>
      </c>
      <c r="J402" s="129" t="str">
        <f t="shared" si="1365"/>
        <v>*</v>
      </c>
      <c r="K402" s="129"/>
      <c r="L402" s="132">
        <f t="shared" si="1150"/>
        <v>0</v>
      </c>
      <c r="M402" s="132">
        <f t="shared" si="1373"/>
        <v>9381.7822666666652</v>
      </c>
      <c r="N402" s="130"/>
      <c r="O402" s="136"/>
      <c r="P402" s="136">
        <f t="shared" si="1379"/>
        <v>0</v>
      </c>
      <c r="Q402" s="136">
        <f t="shared" si="1374"/>
        <v>0</v>
      </c>
      <c r="R402" s="136">
        <f t="shared" si="1375"/>
        <v>0</v>
      </c>
      <c r="S402" s="136">
        <f t="shared" si="1376"/>
        <v>0</v>
      </c>
      <c r="T402" s="136">
        <f t="shared" si="1277"/>
        <v>0</v>
      </c>
      <c r="U402" s="136">
        <f t="shared" si="1277"/>
        <v>0</v>
      </c>
      <c r="V402" s="136">
        <f t="shared" si="1377"/>
        <v>0</v>
      </c>
      <c r="W402" s="136">
        <f t="shared" si="1378"/>
        <v>0</v>
      </c>
      <c r="X402" s="130">
        <f t="shared" si="1227"/>
        <v>0</v>
      </c>
      <c r="Y402" s="129"/>
      <c r="Z402" s="64">
        <f t="shared" si="1388"/>
        <v>24240</v>
      </c>
      <c r="AA402" s="64">
        <f>1000*12*Inf</f>
        <v>12120</v>
      </c>
      <c r="AB402" s="64">
        <f>1000*12*Inf</f>
        <v>12120</v>
      </c>
      <c r="AC402" s="77"/>
      <c r="AD402" s="64">
        <f t="shared" si="1391"/>
        <v>24482.400000000001</v>
      </c>
      <c r="AE402" s="64">
        <f t="shared" si="1392"/>
        <v>12241.2</v>
      </c>
      <c r="AF402" s="64">
        <f t="shared" si="1393"/>
        <v>12241.2</v>
      </c>
      <c r="AG402" s="77"/>
      <c r="AH402" s="64">
        <f t="shared" si="1394"/>
        <v>24727.224000000002</v>
      </c>
      <c r="AI402" s="64">
        <f t="shared" si="1395"/>
        <v>12363.612000000001</v>
      </c>
      <c r="AJ402" s="64">
        <f t="shared" si="1396"/>
        <v>12363.612000000001</v>
      </c>
      <c r="AK402" s="77"/>
      <c r="AL402" s="64">
        <f t="shared" si="1397"/>
        <v>24974.496240000004</v>
      </c>
      <c r="AM402" s="64">
        <f t="shared" si="1398"/>
        <v>12487.248120000002</v>
      </c>
      <c r="AN402" s="64">
        <f t="shared" si="1399"/>
        <v>12487.248120000002</v>
      </c>
      <c r="AO402" s="234" t="s">
        <v>88</v>
      </c>
    </row>
    <row r="403" spans="1:41" s="1" customFormat="1" ht="13.2" customHeight="1" x14ac:dyDescent="0.25">
      <c r="A403" s="131"/>
      <c r="B403" s="63">
        <f>'Expense Input'!B127</f>
        <v>100</v>
      </c>
      <c r="C403" s="63">
        <f>'Expense Input'!C127</f>
        <v>4000</v>
      </c>
      <c r="D403" s="63">
        <f>'Expense Input'!D127</f>
        <v>7900</v>
      </c>
      <c r="E403" s="63">
        <f>'Expense Input'!E127</f>
        <v>380</v>
      </c>
      <c r="F403" s="63" t="str">
        <f>'Expense Input'!F127</f>
        <v>Water Sewer Garbage Collection</v>
      </c>
      <c r="G403" s="64">
        <f>'Expense Input'!Q127</f>
        <v>23362.598000000005</v>
      </c>
      <c r="H403" s="64">
        <f>'Expense Input'!R127</f>
        <v>12634.118</v>
      </c>
      <c r="I403" s="64">
        <f>'Expense Input'!S127</f>
        <v>10728.480000000003</v>
      </c>
      <c r="J403" s="129" t="str">
        <f t="shared" si="1365"/>
        <v>*</v>
      </c>
      <c r="K403" s="129"/>
      <c r="L403" s="132">
        <f t="shared" ref="L403:L447" si="1412">IF(E403&lt;300,G403,0)</f>
        <v>0</v>
      </c>
      <c r="M403" s="132">
        <f t="shared" si="1373"/>
        <v>23362.598000000005</v>
      </c>
      <c r="N403" s="130"/>
      <c r="O403" s="136"/>
      <c r="P403" s="136">
        <f t="shared" si="1379"/>
        <v>0</v>
      </c>
      <c r="Q403" s="136">
        <f t="shared" si="1374"/>
        <v>0</v>
      </c>
      <c r="R403" s="136">
        <f t="shared" si="1375"/>
        <v>0</v>
      </c>
      <c r="S403" s="136">
        <f t="shared" si="1376"/>
        <v>0</v>
      </c>
      <c r="T403" s="136">
        <f t="shared" si="1277"/>
        <v>0</v>
      </c>
      <c r="U403" s="136">
        <f t="shared" si="1277"/>
        <v>0</v>
      </c>
      <c r="V403" s="136">
        <f t="shared" si="1377"/>
        <v>0</v>
      </c>
      <c r="W403" s="136">
        <f t="shared" si="1378"/>
        <v>0</v>
      </c>
      <c r="X403" s="130">
        <f t="shared" si="1227"/>
        <v>0</v>
      </c>
      <c r="Y403" s="129"/>
      <c r="Z403" s="64">
        <f t="shared" ref="Z403" si="1413">AA403+AB403</f>
        <v>23596.223980000002</v>
      </c>
      <c r="AA403" s="64">
        <f t="shared" ref="AA403" si="1414">+H403*Inf</f>
        <v>12760.45918</v>
      </c>
      <c r="AB403" s="64">
        <f t="shared" ref="AB403" si="1415">+I403*Inf</f>
        <v>10835.764800000003</v>
      </c>
      <c r="AC403" s="77"/>
      <c r="AD403" s="64">
        <f t="shared" ref="AD403" si="1416">AE403+AF403</f>
        <v>23832.186219800002</v>
      </c>
      <c r="AE403" s="64">
        <f t="shared" ref="AE403" si="1417">+AA403*Inf</f>
        <v>12888.0637718</v>
      </c>
      <c r="AF403" s="64">
        <f t="shared" ref="AF403" si="1418">+AB403*Inf</f>
        <v>10944.122448000002</v>
      </c>
      <c r="AG403" s="77"/>
      <c r="AH403" s="64">
        <f t="shared" ref="AH403" si="1419">AI403+AJ403</f>
        <v>24070.508081998003</v>
      </c>
      <c r="AI403" s="64">
        <f t="shared" ref="AI403" si="1420">+AE403*Inf</f>
        <v>13016.944409518001</v>
      </c>
      <c r="AJ403" s="64">
        <f t="shared" ref="AJ403" si="1421">+AF403*Inf</f>
        <v>11053.563672480002</v>
      </c>
      <c r="AK403" s="77"/>
      <c r="AL403" s="64">
        <f t="shared" ref="AL403" si="1422">AM403+AN403</f>
        <v>24311.213162817985</v>
      </c>
      <c r="AM403" s="64">
        <f t="shared" ref="AM403" si="1423">+AI403*Inf</f>
        <v>13147.11385361318</v>
      </c>
      <c r="AN403" s="64">
        <f t="shared" ref="AN403" si="1424">+AJ403*Inf</f>
        <v>11164.099309204803</v>
      </c>
      <c r="AO403" s="165" t="s">
        <v>35</v>
      </c>
    </row>
    <row r="404" spans="1:41" s="1" customFormat="1" ht="13.2" customHeight="1" x14ac:dyDescent="0.25">
      <c r="A404" s="131"/>
      <c r="B404" s="63">
        <f>'Expense Input'!B128</f>
        <v>100</v>
      </c>
      <c r="C404" s="63">
        <f>'Expense Input'!C128</f>
        <v>4000</v>
      </c>
      <c r="D404" s="63">
        <f>'Expense Input'!D128</f>
        <v>7900</v>
      </c>
      <c r="E404" s="63">
        <f>'Expense Input'!E128</f>
        <v>390</v>
      </c>
      <c r="F404" s="63" t="str">
        <f>'Expense Input'!F128</f>
        <v>Other Contracted Building Services</v>
      </c>
      <c r="G404" s="64">
        <f>'Expense Input'!Q128</f>
        <v>9300</v>
      </c>
      <c r="H404" s="64">
        <f>'Expense Input'!R128</f>
        <v>5115</v>
      </c>
      <c r="I404" s="64">
        <f>'Expense Input'!S128</f>
        <v>4185</v>
      </c>
      <c r="J404" s="129" t="str">
        <f t="shared" si="1365"/>
        <v>*</v>
      </c>
      <c r="K404" s="129"/>
      <c r="L404" s="132">
        <f t="shared" si="1412"/>
        <v>0</v>
      </c>
      <c r="M404" s="132">
        <f t="shared" si="1373"/>
        <v>9300</v>
      </c>
      <c r="N404" s="130"/>
      <c r="O404" s="136"/>
      <c r="P404" s="136">
        <f t="shared" si="1379"/>
        <v>0</v>
      </c>
      <c r="Q404" s="136">
        <f t="shared" si="1374"/>
        <v>0</v>
      </c>
      <c r="R404" s="136">
        <f t="shared" si="1375"/>
        <v>0</v>
      </c>
      <c r="S404" s="136">
        <f t="shared" si="1376"/>
        <v>0</v>
      </c>
      <c r="T404" s="136">
        <f t="shared" si="1277"/>
        <v>0</v>
      </c>
      <c r="U404" s="136">
        <f t="shared" si="1277"/>
        <v>0</v>
      </c>
      <c r="V404" s="136">
        <f t="shared" si="1377"/>
        <v>0</v>
      </c>
      <c r="W404" s="136">
        <f t="shared" si="1378"/>
        <v>0</v>
      </c>
      <c r="X404" s="130">
        <f t="shared" si="1227"/>
        <v>0</v>
      </c>
      <c r="Y404" s="129"/>
      <c r="Z404" s="64">
        <f t="shared" ref="Z404" si="1425">AA404+AB404</f>
        <v>133320</v>
      </c>
      <c r="AA404" s="64">
        <f>5500*12*Inf</f>
        <v>66660</v>
      </c>
      <c r="AB404" s="64">
        <f>5500*12*Inf</f>
        <v>66660</v>
      </c>
      <c r="AC404" s="77"/>
      <c r="AD404" s="64">
        <f t="shared" ref="AD404" si="1426">AE404+AF404</f>
        <v>134653.20000000001</v>
      </c>
      <c r="AE404" s="64">
        <f t="shared" ref="AE404" si="1427">+AA404*Inf</f>
        <v>67326.600000000006</v>
      </c>
      <c r="AF404" s="64">
        <f t="shared" ref="AF404" si="1428">+AB404*Inf</f>
        <v>67326.600000000006</v>
      </c>
      <c r="AG404" s="77"/>
      <c r="AH404" s="64">
        <f t="shared" ref="AH404" si="1429">AI404+AJ404</f>
        <v>135999.73200000002</v>
      </c>
      <c r="AI404" s="64">
        <f t="shared" ref="AI404" si="1430">+AE404*Inf</f>
        <v>67999.866000000009</v>
      </c>
      <c r="AJ404" s="64">
        <f t="shared" ref="AJ404" si="1431">+AF404*Inf</f>
        <v>67999.866000000009</v>
      </c>
      <c r="AK404" s="77"/>
      <c r="AL404" s="64">
        <f t="shared" ref="AL404" si="1432">AM404+AN404</f>
        <v>137359.72932000001</v>
      </c>
      <c r="AM404" s="64">
        <f t="shared" ref="AM404" si="1433">+AI404*Inf</f>
        <v>68679.864660000007</v>
      </c>
      <c r="AN404" s="64">
        <f t="shared" ref="AN404" si="1434">+AJ404*Inf</f>
        <v>68679.864660000007</v>
      </c>
      <c r="AO404" s="234" t="s">
        <v>89</v>
      </c>
    </row>
    <row r="405" spans="1:41" s="129" customFormat="1" ht="13.2" customHeight="1" x14ac:dyDescent="0.25">
      <c r="A405" s="131"/>
      <c r="B405" s="63">
        <f>'Expense Input'!B129</f>
        <v>100</v>
      </c>
      <c r="C405" s="63">
        <f>'Expense Input'!C129</f>
        <v>4000</v>
      </c>
      <c r="D405" s="63">
        <f>'Expense Input'!D129</f>
        <v>7900</v>
      </c>
      <c r="E405" s="63">
        <f>'Expense Input'!E129</f>
        <v>430</v>
      </c>
      <c r="F405" s="63" t="str">
        <f>'Expense Input'!F129</f>
        <v>Electricity</v>
      </c>
      <c r="G405" s="64">
        <f>'Expense Input'!Q129</f>
        <v>93182.761599999983</v>
      </c>
      <c r="H405" s="64">
        <f>'Expense Input'!R129</f>
        <v>42595.403333333321</v>
      </c>
      <c r="I405" s="64">
        <f>'Expense Input'!S129</f>
        <v>50587.358266666663</v>
      </c>
      <c r="J405" s="129" t="str">
        <f t="shared" ref="J405:J409" si="1435">IF(G405&gt;0.49,"*","")</f>
        <v>*</v>
      </c>
      <c r="L405" s="132">
        <f t="shared" ref="L405:L409" si="1436">IF(E405&lt;300,G405,0)</f>
        <v>0</v>
      </c>
      <c r="M405" s="132">
        <f t="shared" ref="M405:M409" si="1437">IF(E405&gt;299,G405,0)</f>
        <v>93182.761599999983</v>
      </c>
      <c r="N405" s="130"/>
      <c r="O405" s="136"/>
      <c r="P405" s="136">
        <f t="shared" ref="P405:P409" si="1438">IF(B405=490,G405,0)</f>
        <v>0</v>
      </c>
      <c r="Q405" s="136">
        <f t="shared" ref="Q405:Q409" si="1439">IF(B405=410,H405,0)</f>
        <v>0</v>
      </c>
      <c r="R405" s="136">
        <f t="shared" si="1375"/>
        <v>0</v>
      </c>
      <c r="S405" s="136">
        <f t="shared" si="1376"/>
        <v>0</v>
      </c>
      <c r="T405" s="136">
        <f t="shared" si="1277"/>
        <v>0</v>
      </c>
      <c r="U405" s="136">
        <f t="shared" si="1277"/>
        <v>0</v>
      </c>
      <c r="V405" s="136">
        <f t="shared" si="1377"/>
        <v>0</v>
      </c>
      <c r="W405" s="136">
        <f t="shared" ref="W405:W409" si="1440">IF(B405=410,I405,0)</f>
        <v>0</v>
      </c>
      <c r="X405" s="130">
        <f t="shared" ref="X405:X409" si="1441">+W405+Q405-O405</f>
        <v>0</v>
      </c>
      <c r="Z405" s="64">
        <f t="shared" si="1388"/>
        <v>94114.589215999993</v>
      </c>
      <c r="AA405" s="64">
        <f t="shared" si="1389"/>
        <v>43021.357366666656</v>
      </c>
      <c r="AB405" s="64">
        <f t="shared" si="1390"/>
        <v>51093.23184933333</v>
      </c>
      <c r="AC405" s="77"/>
      <c r="AD405" s="64">
        <f t="shared" si="1391"/>
        <v>95055.735108159977</v>
      </c>
      <c r="AE405" s="64">
        <f t="shared" si="1392"/>
        <v>43451.570940333324</v>
      </c>
      <c r="AF405" s="64">
        <f t="shared" si="1393"/>
        <v>51604.164167826661</v>
      </c>
      <c r="AG405" s="77"/>
      <c r="AH405" s="64">
        <f t="shared" si="1394"/>
        <v>96006.29245924158</v>
      </c>
      <c r="AI405" s="64">
        <f t="shared" si="1395"/>
        <v>43886.086649736659</v>
      </c>
      <c r="AJ405" s="64">
        <f t="shared" si="1396"/>
        <v>52120.205809504929</v>
      </c>
      <c r="AK405" s="77"/>
      <c r="AL405" s="64">
        <f t="shared" si="1397"/>
        <v>96966.355383834001</v>
      </c>
      <c r="AM405" s="64">
        <f t="shared" si="1398"/>
        <v>44324.947516234024</v>
      </c>
      <c r="AN405" s="64">
        <f t="shared" si="1399"/>
        <v>52641.407867599977</v>
      </c>
      <c r="AO405" s="165" t="s">
        <v>35</v>
      </c>
    </row>
    <row r="406" spans="1:41" s="129" customFormat="1" ht="13.2" hidden="1" customHeight="1" x14ac:dyDescent="0.25">
      <c r="A406" s="131"/>
      <c r="B406" s="63">
        <f>'Expense Input'!B130</f>
        <v>495</v>
      </c>
      <c r="C406" s="63">
        <f>'Expense Input'!C130</f>
        <v>4000</v>
      </c>
      <c r="D406" s="63">
        <f>'Expense Input'!D130</f>
        <v>7900</v>
      </c>
      <c r="E406" s="63">
        <f>'Expense Input'!E130</f>
        <v>430</v>
      </c>
      <c r="F406" s="63" t="str">
        <f>'Expense Input'!F130</f>
        <v>Electricity</v>
      </c>
      <c r="G406" s="64">
        <f>'Expense Input'!Q130</f>
        <v>0</v>
      </c>
      <c r="H406" s="64">
        <f>'Expense Input'!R130</f>
        <v>0</v>
      </c>
      <c r="I406" s="64">
        <f>'Expense Input'!S130</f>
        <v>0</v>
      </c>
      <c r="J406" s="129" t="str">
        <f t="shared" si="1435"/>
        <v/>
      </c>
      <c r="L406" s="132">
        <f t="shared" si="1436"/>
        <v>0</v>
      </c>
      <c r="M406" s="132">
        <f t="shared" si="1437"/>
        <v>0</v>
      </c>
      <c r="N406" s="130"/>
      <c r="O406" s="136"/>
      <c r="P406" s="136">
        <f t="shared" si="1438"/>
        <v>0</v>
      </c>
      <c r="Q406" s="136">
        <f t="shared" si="1439"/>
        <v>0</v>
      </c>
      <c r="R406" s="136">
        <f t="shared" ref="R406" si="1442">IF(B406=432,H406,0)</f>
        <v>0</v>
      </c>
      <c r="S406" s="136">
        <f t="shared" si="1376"/>
        <v>0</v>
      </c>
      <c r="T406" s="136">
        <f t="shared" si="1277"/>
        <v>0</v>
      </c>
      <c r="U406" s="136">
        <f t="shared" si="1277"/>
        <v>0</v>
      </c>
      <c r="V406" s="136">
        <f t="shared" ref="V406" si="1443">IF(B406=360,I406,0)</f>
        <v>0</v>
      </c>
      <c r="W406" s="136">
        <f t="shared" si="1440"/>
        <v>0</v>
      </c>
      <c r="X406" s="130">
        <f t="shared" si="1441"/>
        <v>0</v>
      </c>
      <c r="Z406" s="64">
        <f t="shared" si="1388"/>
        <v>0</v>
      </c>
      <c r="AA406" s="64">
        <f t="shared" si="1389"/>
        <v>0</v>
      </c>
      <c r="AB406" s="64">
        <f t="shared" si="1390"/>
        <v>0</v>
      </c>
      <c r="AC406" s="77"/>
      <c r="AD406" s="64">
        <f t="shared" si="1391"/>
        <v>0</v>
      </c>
      <c r="AE406" s="64">
        <f t="shared" si="1392"/>
        <v>0</v>
      </c>
      <c r="AF406" s="64">
        <f t="shared" si="1393"/>
        <v>0</v>
      </c>
      <c r="AG406" s="77"/>
      <c r="AH406" s="64">
        <f t="shared" si="1394"/>
        <v>0</v>
      </c>
      <c r="AI406" s="64">
        <f t="shared" si="1395"/>
        <v>0</v>
      </c>
      <c r="AJ406" s="64">
        <f t="shared" si="1396"/>
        <v>0</v>
      </c>
      <c r="AK406" s="77"/>
      <c r="AL406" s="64">
        <f t="shared" si="1397"/>
        <v>0</v>
      </c>
      <c r="AM406" s="64">
        <f t="shared" si="1398"/>
        <v>0</v>
      </c>
      <c r="AN406" s="64">
        <f t="shared" si="1399"/>
        <v>0</v>
      </c>
      <c r="AO406" s="165" t="s">
        <v>35</v>
      </c>
    </row>
    <row r="407" spans="1:41" s="129" customFormat="1" ht="13.2" customHeight="1" x14ac:dyDescent="0.25">
      <c r="A407" s="131"/>
      <c r="B407" s="63">
        <f>'Expense Input'!B131</f>
        <v>100</v>
      </c>
      <c r="C407" s="63">
        <f>'Expense Input'!C131</f>
        <v>4000</v>
      </c>
      <c r="D407" s="63">
        <f>'Expense Input'!D131</f>
        <v>7900</v>
      </c>
      <c r="E407" s="63">
        <f>'Expense Input'!E131</f>
        <v>510</v>
      </c>
      <c r="F407" s="63" t="str">
        <f>'Expense Input'!F131</f>
        <v>Custodial Supplies</v>
      </c>
      <c r="G407" s="64">
        <f>'Expense Input'!Q131</f>
        <v>18748.007166666663</v>
      </c>
      <c r="H407" s="64">
        <f>'Expense Input'!R131</f>
        <v>7385.7933333333331</v>
      </c>
      <c r="I407" s="64">
        <f>'Expense Input'!S131</f>
        <v>11362.213833333331</v>
      </c>
      <c r="J407" s="129" t="str">
        <f t="shared" ref="J407:J408" si="1444">IF(G407&gt;0.49,"*","")</f>
        <v>*</v>
      </c>
      <c r="L407" s="132">
        <f t="shared" ref="L407:L408" si="1445">IF(E407&lt;300,G407,0)</f>
        <v>0</v>
      </c>
      <c r="M407" s="132">
        <f t="shared" ref="M407:M408" si="1446">IF(E407&gt;299,G407,0)</f>
        <v>18748.007166666663</v>
      </c>
      <c r="N407" s="130"/>
      <c r="O407" s="136"/>
      <c r="P407" s="136">
        <f t="shared" ref="P407:P408" si="1447">IF(B407=490,G407,0)</f>
        <v>0</v>
      </c>
      <c r="Q407" s="136">
        <f t="shared" ref="Q407:Q408" si="1448">IF(B407=410,H407,0)</f>
        <v>0</v>
      </c>
      <c r="R407" s="136">
        <f t="shared" si="1375"/>
        <v>0</v>
      </c>
      <c r="S407" s="136">
        <f t="shared" si="1376"/>
        <v>0</v>
      </c>
      <c r="T407" s="136">
        <f t="shared" si="1277"/>
        <v>0</v>
      </c>
      <c r="U407" s="136">
        <f t="shared" si="1277"/>
        <v>0</v>
      </c>
      <c r="V407" s="136">
        <f t="shared" si="1377"/>
        <v>0</v>
      </c>
      <c r="W407" s="136">
        <f t="shared" ref="W407:W408" si="1449">IF(B407=410,I407,0)</f>
        <v>0</v>
      </c>
      <c r="X407" s="130">
        <f t="shared" ref="X407:X408" si="1450">+W407+Q407-O407</f>
        <v>0</v>
      </c>
      <c r="Z407" s="64">
        <f t="shared" si="1388"/>
        <v>18935.487238333331</v>
      </c>
      <c r="AA407" s="64">
        <f t="shared" si="1389"/>
        <v>7459.6512666666667</v>
      </c>
      <c r="AB407" s="64">
        <f t="shared" si="1390"/>
        <v>11475.835971666666</v>
      </c>
      <c r="AC407" s="77"/>
      <c r="AD407" s="64">
        <f t="shared" si="1391"/>
        <v>19124.842110716665</v>
      </c>
      <c r="AE407" s="64">
        <f t="shared" si="1392"/>
        <v>7534.2477793333337</v>
      </c>
      <c r="AF407" s="64">
        <f t="shared" si="1393"/>
        <v>11590.594331383332</v>
      </c>
      <c r="AG407" s="77"/>
      <c r="AH407" s="64">
        <f t="shared" si="1394"/>
        <v>19316.090531823833</v>
      </c>
      <c r="AI407" s="64">
        <f t="shared" si="1395"/>
        <v>7609.590257126667</v>
      </c>
      <c r="AJ407" s="64">
        <f t="shared" si="1396"/>
        <v>11706.500274697166</v>
      </c>
      <c r="AK407" s="77"/>
      <c r="AL407" s="64">
        <f t="shared" si="1397"/>
        <v>19509.251437142069</v>
      </c>
      <c r="AM407" s="64">
        <f t="shared" si="1398"/>
        <v>7685.6861596979334</v>
      </c>
      <c r="AN407" s="64">
        <f t="shared" si="1399"/>
        <v>11823.565277444137</v>
      </c>
      <c r="AO407" s="165" t="s">
        <v>35</v>
      </c>
    </row>
    <row r="408" spans="1:41" s="129" customFormat="1" ht="13.2" hidden="1" customHeight="1" x14ac:dyDescent="0.25">
      <c r="A408" s="131"/>
      <c r="B408" s="63">
        <f>'Expense Input'!B132</f>
        <v>435</v>
      </c>
      <c r="C408" s="63">
        <f>'Expense Input'!C132</f>
        <v>4000</v>
      </c>
      <c r="D408" s="63">
        <f>'Expense Input'!D132</f>
        <v>7901</v>
      </c>
      <c r="E408" s="63">
        <f>'Expense Input'!E132</f>
        <v>510</v>
      </c>
      <c r="F408" s="63" t="str">
        <f>'Expense Input'!F132</f>
        <v>Supplies</v>
      </c>
      <c r="G408" s="64">
        <f>'Expense Input'!Q132</f>
        <v>0</v>
      </c>
      <c r="H408" s="64">
        <f>'Expense Input'!R132</f>
        <v>0</v>
      </c>
      <c r="I408" s="64">
        <f>'Expense Input'!S132</f>
        <v>0</v>
      </c>
      <c r="J408" s="129" t="str">
        <f t="shared" si="1444"/>
        <v/>
      </c>
      <c r="L408" s="132">
        <f t="shared" si="1445"/>
        <v>0</v>
      </c>
      <c r="M408" s="132">
        <f t="shared" si="1446"/>
        <v>0</v>
      </c>
      <c r="N408" s="130"/>
      <c r="O408" s="136"/>
      <c r="P408" s="136">
        <f t="shared" si="1447"/>
        <v>0</v>
      </c>
      <c r="Q408" s="136">
        <f t="shared" si="1448"/>
        <v>0</v>
      </c>
      <c r="R408" s="136">
        <f t="shared" si="1375"/>
        <v>0</v>
      </c>
      <c r="S408" s="136">
        <f t="shared" si="1376"/>
        <v>0</v>
      </c>
      <c r="T408" s="136">
        <f t="shared" si="1277"/>
        <v>0</v>
      </c>
      <c r="U408" s="136">
        <f t="shared" si="1277"/>
        <v>0</v>
      </c>
      <c r="V408" s="136">
        <f t="shared" si="1377"/>
        <v>0</v>
      </c>
      <c r="W408" s="136">
        <f t="shared" si="1449"/>
        <v>0</v>
      </c>
      <c r="X408" s="130">
        <f t="shared" si="1450"/>
        <v>0</v>
      </c>
      <c r="Z408" s="64">
        <f t="shared" si="1388"/>
        <v>0</v>
      </c>
      <c r="AA408" s="64">
        <f t="shared" si="1389"/>
        <v>0</v>
      </c>
      <c r="AB408" s="64">
        <f t="shared" si="1390"/>
        <v>0</v>
      </c>
      <c r="AC408" s="77"/>
      <c r="AD408" s="64">
        <f t="shared" si="1391"/>
        <v>0</v>
      </c>
      <c r="AE408" s="64">
        <f t="shared" si="1392"/>
        <v>0</v>
      </c>
      <c r="AF408" s="64">
        <f t="shared" si="1393"/>
        <v>0</v>
      </c>
      <c r="AG408" s="77"/>
      <c r="AH408" s="64">
        <f t="shared" si="1394"/>
        <v>0</v>
      </c>
      <c r="AI408" s="64">
        <f t="shared" si="1395"/>
        <v>0</v>
      </c>
      <c r="AJ408" s="64">
        <f t="shared" si="1396"/>
        <v>0</v>
      </c>
      <c r="AK408" s="77"/>
      <c r="AL408" s="64">
        <f t="shared" si="1397"/>
        <v>0</v>
      </c>
      <c r="AM408" s="64">
        <f t="shared" si="1398"/>
        <v>0</v>
      </c>
      <c r="AN408" s="64">
        <f t="shared" si="1399"/>
        <v>0</v>
      </c>
      <c r="AO408" s="165" t="s">
        <v>35</v>
      </c>
    </row>
    <row r="409" spans="1:41" s="129" customFormat="1" ht="13.2" hidden="1" customHeight="1" x14ac:dyDescent="0.25">
      <c r="A409" s="131"/>
      <c r="B409" s="63">
        <f>'Expense Input'!B133</f>
        <v>100</v>
      </c>
      <c r="C409" s="63">
        <f>'Expense Input'!C133</f>
        <v>4000</v>
      </c>
      <c r="D409" s="63">
        <f>'Expense Input'!D133</f>
        <v>7900</v>
      </c>
      <c r="E409" s="63">
        <f>'Expense Input'!E133</f>
        <v>640</v>
      </c>
      <c r="F409" s="63" t="str">
        <f>'Expense Input'!F133</f>
        <v>Custodial Furniture and Equipment</v>
      </c>
      <c r="G409" s="64">
        <f>'Expense Input'!Q133</f>
        <v>0</v>
      </c>
      <c r="H409" s="64">
        <f>'Expense Input'!R133</f>
        <v>0</v>
      </c>
      <c r="I409" s="64">
        <f>'Expense Input'!S133</f>
        <v>0</v>
      </c>
      <c r="J409" s="129" t="str">
        <f t="shared" si="1435"/>
        <v/>
      </c>
      <c r="L409" s="132">
        <f t="shared" si="1436"/>
        <v>0</v>
      </c>
      <c r="M409" s="132">
        <f t="shared" si="1437"/>
        <v>0</v>
      </c>
      <c r="N409" s="130"/>
      <c r="O409" s="136"/>
      <c r="P409" s="136">
        <f t="shared" si="1438"/>
        <v>0</v>
      </c>
      <c r="Q409" s="136">
        <f t="shared" si="1439"/>
        <v>0</v>
      </c>
      <c r="R409" s="136">
        <f t="shared" ref="R409" si="1451">IF(B409=432,H409,0)</f>
        <v>0</v>
      </c>
      <c r="S409" s="136">
        <f t="shared" si="1376"/>
        <v>0</v>
      </c>
      <c r="T409" s="136">
        <f t="shared" si="1277"/>
        <v>0</v>
      </c>
      <c r="U409" s="136">
        <f t="shared" si="1277"/>
        <v>0</v>
      </c>
      <c r="V409" s="136">
        <f t="shared" ref="V409" si="1452">IF(B409=360,I409,0)</f>
        <v>0</v>
      </c>
      <c r="W409" s="136">
        <f t="shared" si="1440"/>
        <v>0</v>
      </c>
      <c r="X409" s="130">
        <f t="shared" si="1441"/>
        <v>0</v>
      </c>
      <c r="Z409" s="64">
        <f t="shared" si="1388"/>
        <v>0</v>
      </c>
      <c r="AA409" s="64">
        <f t="shared" si="1389"/>
        <v>0</v>
      </c>
      <c r="AB409" s="64">
        <f t="shared" si="1390"/>
        <v>0</v>
      </c>
      <c r="AC409" s="77"/>
      <c r="AD409" s="64">
        <f t="shared" si="1391"/>
        <v>0</v>
      </c>
      <c r="AE409" s="64">
        <f t="shared" si="1392"/>
        <v>0</v>
      </c>
      <c r="AF409" s="64">
        <f t="shared" si="1393"/>
        <v>0</v>
      </c>
      <c r="AG409" s="77"/>
      <c r="AH409" s="64">
        <f t="shared" si="1394"/>
        <v>0</v>
      </c>
      <c r="AI409" s="64">
        <f t="shared" si="1395"/>
        <v>0</v>
      </c>
      <c r="AJ409" s="64">
        <f t="shared" si="1396"/>
        <v>0</v>
      </c>
      <c r="AK409" s="77"/>
      <c r="AL409" s="64">
        <f t="shared" si="1397"/>
        <v>0</v>
      </c>
      <c r="AM409" s="64">
        <f t="shared" si="1398"/>
        <v>0</v>
      </c>
      <c r="AN409" s="64">
        <f t="shared" si="1399"/>
        <v>0</v>
      </c>
      <c r="AO409" s="165" t="s">
        <v>35</v>
      </c>
    </row>
    <row r="410" spans="1:41" s="129" customFormat="1" ht="13.2" hidden="1" customHeight="1" x14ac:dyDescent="0.25">
      <c r="A410" s="131"/>
      <c r="B410" s="63">
        <f>'Expense Input'!B134</f>
        <v>100</v>
      </c>
      <c r="C410" s="63">
        <f>'Expense Input'!C134</f>
        <v>4000</v>
      </c>
      <c r="D410" s="63">
        <f>'Expense Input'!D134</f>
        <v>7900</v>
      </c>
      <c r="E410" s="63">
        <f>'Expense Input'!E134</f>
        <v>641</v>
      </c>
      <c r="F410" s="63" t="str">
        <f>'Expense Input'!F134</f>
        <v>Capitalized Furniture &amp; Equipment</v>
      </c>
      <c r="G410" s="64">
        <f>'Expense Input'!Q134</f>
        <v>0</v>
      </c>
      <c r="H410" s="64">
        <f>'Expense Input'!R134</f>
        <v>0</v>
      </c>
      <c r="I410" s="64">
        <f>'Expense Input'!S134</f>
        <v>0</v>
      </c>
      <c r="J410" s="129" t="str">
        <f t="shared" ref="J410" si="1453">IF(G410&gt;0.49,"*","")</f>
        <v/>
      </c>
      <c r="L410" s="132">
        <f t="shared" ref="L410" si="1454">IF(E410&lt;300,G410,0)</f>
        <v>0</v>
      </c>
      <c r="M410" s="132">
        <f t="shared" ref="M410" si="1455">IF(E410&gt;299,G410,0)</f>
        <v>0</v>
      </c>
      <c r="N410" s="130"/>
      <c r="O410" s="136"/>
      <c r="P410" s="136">
        <f t="shared" ref="P410" si="1456">IF(B410=490,G410,0)</f>
        <v>0</v>
      </c>
      <c r="Q410" s="136">
        <f t="shared" ref="Q410" si="1457">IF(B410=410,H410,0)</f>
        <v>0</v>
      </c>
      <c r="R410" s="136">
        <f t="shared" si="1375"/>
        <v>0</v>
      </c>
      <c r="S410" s="136">
        <f t="shared" si="1376"/>
        <v>0</v>
      </c>
      <c r="T410" s="136">
        <f t="shared" si="1277"/>
        <v>0</v>
      </c>
      <c r="U410" s="136">
        <f t="shared" si="1277"/>
        <v>0</v>
      </c>
      <c r="V410" s="136">
        <f t="shared" si="1377"/>
        <v>0</v>
      </c>
      <c r="W410" s="136">
        <f t="shared" ref="W410" si="1458">IF(B410=410,I410,0)</f>
        <v>0</v>
      </c>
      <c r="X410" s="130">
        <f t="shared" ref="X410" si="1459">+W410+Q410-O410</f>
        <v>0</v>
      </c>
      <c r="Z410" s="64">
        <f t="shared" si="1388"/>
        <v>0</v>
      </c>
      <c r="AA410" s="64">
        <f t="shared" si="1389"/>
        <v>0</v>
      </c>
      <c r="AB410" s="64">
        <f t="shared" si="1390"/>
        <v>0</v>
      </c>
      <c r="AC410" s="77"/>
      <c r="AD410" s="64">
        <f t="shared" si="1391"/>
        <v>0</v>
      </c>
      <c r="AE410" s="64">
        <f t="shared" si="1392"/>
        <v>0</v>
      </c>
      <c r="AF410" s="64">
        <f t="shared" si="1393"/>
        <v>0</v>
      </c>
      <c r="AG410" s="77"/>
      <c r="AH410" s="64">
        <f t="shared" si="1394"/>
        <v>0</v>
      </c>
      <c r="AI410" s="64">
        <f t="shared" si="1395"/>
        <v>0</v>
      </c>
      <c r="AJ410" s="64">
        <f t="shared" si="1396"/>
        <v>0</v>
      </c>
      <c r="AK410" s="77"/>
      <c r="AL410" s="64">
        <f t="shared" si="1397"/>
        <v>0</v>
      </c>
      <c r="AM410" s="64">
        <f t="shared" si="1398"/>
        <v>0</v>
      </c>
      <c r="AN410" s="64">
        <f t="shared" si="1399"/>
        <v>0</v>
      </c>
      <c r="AO410" s="165" t="s">
        <v>35</v>
      </c>
    </row>
    <row r="411" spans="1:41" s="129" customFormat="1" ht="13.2" customHeight="1" x14ac:dyDescent="0.25">
      <c r="A411" s="131"/>
      <c r="B411" s="63">
        <f>'Expense Input'!B135</f>
        <v>100</v>
      </c>
      <c r="C411" s="63">
        <f>'Expense Input'!C135</f>
        <v>4000</v>
      </c>
      <c r="D411" s="63">
        <f>'Expense Input'!D135</f>
        <v>7900</v>
      </c>
      <c r="E411" s="63">
        <f>'Expense Input'!E135</f>
        <v>642</v>
      </c>
      <c r="F411" s="63" t="str">
        <f>'Expense Input'!F135</f>
        <v>Non-capitalized Furniture &amp; Equipment</v>
      </c>
      <c r="G411" s="64">
        <f>'Expense Input'!Q135</f>
        <v>545.40000000000009</v>
      </c>
      <c r="H411" s="64">
        <f>'Expense Input'!R135</f>
        <v>299.97000000000003</v>
      </c>
      <c r="I411" s="64">
        <f>'Expense Input'!S135</f>
        <v>245.43</v>
      </c>
      <c r="J411" s="129" t="str">
        <f t="shared" ref="J411" si="1460">IF(G411&gt;0.49,"*","")</f>
        <v>*</v>
      </c>
      <c r="L411" s="132">
        <f t="shared" ref="L411" si="1461">IF(E411&lt;300,G411,0)</f>
        <v>0</v>
      </c>
      <c r="M411" s="132">
        <f t="shared" ref="M411" si="1462">IF(E411&gt;299,G411,0)</f>
        <v>545.40000000000009</v>
      </c>
      <c r="N411" s="130"/>
      <c r="O411" s="136"/>
      <c r="P411" s="136">
        <f t="shared" ref="P411" si="1463">IF(B411=490,G411,0)</f>
        <v>0</v>
      </c>
      <c r="Q411" s="136">
        <f t="shared" ref="Q411" si="1464">IF(B411=410,H411,0)</f>
        <v>0</v>
      </c>
      <c r="R411" s="136">
        <f t="shared" ref="R411" si="1465">IF(B411=432,H411,0)</f>
        <v>0</v>
      </c>
      <c r="S411" s="136">
        <f t="shared" ref="S411" si="1466">IF(B411=432,I411,0)</f>
        <v>0</v>
      </c>
      <c r="T411" s="136">
        <f t="shared" si="1277"/>
        <v>0</v>
      </c>
      <c r="U411" s="136">
        <f t="shared" si="1277"/>
        <v>0</v>
      </c>
      <c r="V411" s="136">
        <f t="shared" ref="V411" si="1467">IF(B411=360,I411,0)</f>
        <v>0</v>
      </c>
      <c r="W411" s="136">
        <f t="shared" ref="W411" si="1468">IF(B411=410,I411,0)</f>
        <v>0</v>
      </c>
      <c r="X411" s="130">
        <f t="shared" ref="X411" si="1469">+W411+Q411-O411</f>
        <v>0</v>
      </c>
      <c r="Z411" s="64">
        <f t="shared" si="1388"/>
        <v>550.85400000000004</v>
      </c>
      <c r="AA411" s="64">
        <f t="shared" si="1389"/>
        <v>302.96970000000005</v>
      </c>
      <c r="AB411" s="64">
        <f t="shared" si="1390"/>
        <v>247.8843</v>
      </c>
      <c r="AC411" s="77"/>
      <c r="AD411" s="64">
        <f t="shared" si="1391"/>
        <v>556.36254000000008</v>
      </c>
      <c r="AE411" s="64">
        <f t="shared" si="1392"/>
        <v>305.99939700000004</v>
      </c>
      <c r="AF411" s="64">
        <f t="shared" si="1393"/>
        <v>250.36314300000001</v>
      </c>
      <c r="AG411" s="77"/>
      <c r="AH411" s="64">
        <f t="shared" si="1394"/>
        <v>561.92616540000006</v>
      </c>
      <c r="AI411" s="64">
        <f t="shared" si="1395"/>
        <v>309.05939097000004</v>
      </c>
      <c r="AJ411" s="64">
        <f t="shared" si="1396"/>
        <v>252.86677443000002</v>
      </c>
      <c r="AK411" s="77"/>
      <c r="AL411" s="64">
        <f t="shared" si="1397"/>
        <v>567.54542705400002</v>
      </c>
      <c r="AM411" s="64">
        <f t="shared" si="1398"/>
        <v>312.14998487970001</v>
      </c>
      <c r="AN411" s="64">
        <f t="shared" si="1399"/>
        <v>255.39544217430003</v>
      </c>
      <c r="AO411" s="165" t="s">
        <v>35</v>
      </c>
    </row>
    <row r="412" spans="1:41" s="129" customFormat="1" ht="13.2" hidden="1" customHeight="1" x14ac:dyDescent="0.25">
      <c r="A412" s="131"/>
      <c r="B412" s="63">
        <f>'Expense Input'!B136</f>
        <v>100</v>
      </c>
      <c r="C412" s="63">
        <f>'Expense Input'!C136</f>
        <v>4000</v>
      </c>
      <c r="D412" s="63">
        <f>'Expense Input'!D136</f>
        <v>7900</v>
      </c>
      <c r="E412" s="63">
        <f>'Expense Input'!E136</f>
        <v>750</v>
      </c>
      <c r="F412" s="63" t="str">
        <f>'Expense Input'!F136</f>
        <v>Maintenance Sub</v>
      </c>
      <c r="G412" s="64">
        <f>'Expense Input'!Q136</f>
        <v>0</v>
      </c>
      <c r="H412" s="64">
        <f>'Expense Input'!R136</f>
        <v>0</v>
      </c>
      <c r="I412" s="64">
        <f>'Expense Input'!S136</f>
        <v>0</v>
      </c>
      <c r="J412" s="129" t="str">
        <f t="shared" ref="J412" si="1470">IF(G412&gt;0.49,"*","")</f>
        <v/>
      </c>
      <c r="L412" s="132">
        <f t="shared" ref="L412" si="1471">IF(E412&lt;300,G412,0)</f>
        <v>0</v>
      </c>
      <c r="M412" s="132">
        <f t="shared" ref="M412" si="1472">IF(E412&gt;299,G412,0)</f>
        <v>0</v>
      </c>
      <c r="N412" s="130"/>
      <c r="O412" s="136"/>
      <c r="P412" s="136">
        <f t="shared" ref="P412" si="1473">IF(B412=490,G412,0)</f>
        <v>0</v>
      </c>
      <c r="Q412" s="136">
        <f t="shared" ref="Q412" si="1474">IF(B412=410,H412,0)</f>
        <v>0</v>
      </c>
      <c r="R412" s="136">
        <f t="shared" ref="R412" si="1475">IF(B412=432,H412,0)</f>
        <v>0</v>
      </c>
      <c r="S412" s="136">
        <f t="shared" ref="S412" si="1476">IF(B412=432,I412,0)</f>
        <v>0</v>
      </c>
      <c r="T412" s="136">
        <f t="shared" ref="T412" si="1477">IF($B412=435,H412,0)</f>
        <v>0</v>
      </c>
      <c r="U412" s="136">
        <f t="shared" ref="U412" si="1478">IF($B412=435,I412,0)</f>
        <v>0</v>
      </c>
      <c r="V412" s="136">
        <f t="shared" ref="V412" si="1479">IF(B412=360,I412,0)</f>
        <v>0</v>
      </c>
      <c r="W412" s="136">
        <f t="shared" ref="W412" si="1480">IF(B412=410,I412,0)</f>
        <v>0</v>
      </c>
      <c r="X412" s="130">
        <f t="shared" ref="X412" si="1481">+W412+Q412-O412</f>
        <v>0</v>
      </c>
      <c r="Z412" s="64">
        <f t="shared" ref="Z412" si="1482">AA412+AB412</f>
        <v>0</v>
      </c>
      <c r="AA412" s="64">
        <f t="shared" ref="AA412" si="1483">+H412*Inf</f>
        <v>0</v>
      </c>
      <c r="AB412" s="64">
        <f t="shared" ref="AB412" si="1484">+I412*Inf</f>
        <v>0</v>
      </c>
      <c r="AC412" s="77"/>
      <c r="AD412" s="64">
        <f t="shared" ref="AD412" si="1485">AE412+AF412</f>
        <v>0</v>
      </c>
      <c r="AE412" s="64">
        <f t="shared" ref="AE412" si="1486">+AA412*Inf</f>
        <v>0</v>
      </c>
      <c r="AF412" s="64">
        <f t="shared" ref="AF412" si="1487">+AB412*Inf</f>
        <v>0</v>
      </c>
      <c r="AG412" s="77"/>
      <c r="AH412" s="64">
        <f t="shared" ref="AH412" si="1488">AI412+AJ412</f>
        <v>0</v>
      </c>
      <c r="AI412" s="64">
        <f t="shared" ref="AI412" si="1489">+AE412*Inf</f>
        <v>0</v>
      </c>
      <c r="AJ412" s="64">
        <f t="shared" ref="AJ412" si="1490">+AF412*Inf</f>
        <v>0</v>
      </c>
      <c r="AK412" s="77"/>
      <c r="AL412" s="64">
        <f t="shared" ref="AL412" si="1491">AM412+AN412</f>
        <v>0</v>
      </c>
      <c r="AM412" s="64">
        <f t="shared" ref="AM412" si="1492">+AI412*Inf</f>
        <v>0</v>
      </c>
      <c r="AN412" s="64">
        <f t="shared" ref="AN412" si="1493">+AJ412*Inf</f>
        <v>0</v>
      </c>
      <c r="AO412" s="165" t="s">
        <v>35</v>
      </c>
    </row>
    <row r="413" spans="1:41" x14ac:dyDescent="0.25">
      <c r="A413" s="131"/>
      <c r="B413" s="63"/>
      <c r="C413" s="63"/>
      <c r="D413" s="63"/>
      <c r="E413" s="63"/>
      <c r="F413" s="63"/>
      <c r="G413" s="65"/>
      <c r="H413" s="65"/>
      <c r="I413" s="65"/>
      <c r="J413" s="129" t="str">
        <f>IF(J414="*","*","")</f>
        <v>*</v>
      </c>
      <c r="L413" s="132">
        <f t="shared" si="1412"/>
        <v>0</v>
      </c>
      <c r="M413" s="132">
        <f t="shared" si="1373"/>
        <v>0</v>
      </c>
      <c r="N413" s="130"/>
      <c r="O413" s="136"/>
      <c r="P413" s="136">
        <f>IF(B413=432,G413,0)</f>
        <v>0</v>
      </c>
      <c r="Q413" s="136">
        <f t="shared" si="1374"/>
        <v>0</v>
      </c>
      <c r="R413" s="136">
        <f t="shared" si="1375"/>
        <v>0</v>
      </c>
      <c r="S413" s="136">
        <f t="shared" si="1376"/>
        <v>0</v>
      </c>
      <c r="T413" s="136">
        <f t="shared" ref="T413:U450" si="1494">IF($B413=435,H413,0)</f>
        <v>0</v>
      </c>
      <c r="U413" s="136">
        <f t="shared" si="1494"/>
        <v>0</v>
      </c>
      <c r="V413" s="136">
        <f t="shared" si="1377"/>
        <v>0</v>
      </c>
      <c r="W413" s="136">
        <f t="shared" si="1378"/>
        <v>0</v>
      </c>
      <c r="X413" s="130">
        <f t="shared" si="1227"/>
        <v>0</v>
      </c>
      <c r="Z413" s="65"/>
      <c r="AA413" s="65"/>
      <c r="AB413" s="65"/>
      <c r="AD413" s="65"/>
      <c r="AE413" s="65"/>
      <c r="AF413" s="65"/>
      <c r="AH413" s="65"/>
      <c r="AI413" s="65"/>
      <c r="AJ413" s="65"/>
      <c r="AL413" s="65"/>
      <c r="AM413" s="65"/>
      <c r="AN413" s="65"/>
      <c r="AO413" s="165"/>
    </row>
    <row r="414" spans="1:41" x14ac:dyDescent="0.25">
      <c r="A414" s="131"/>
      <c r="F414" s="85" t="s">
        <v>90</v>
      </c>
      <c r="G414" s="86">
        <f>SUM(G386:G413)</f>
        <v>403648.69559047621</v>
      </c>
      <c r="H414" s="86">
        <f>SUM(H386:H413)</f>
        <v>210235.85965833333</v>
      </c>
      <c r="I414" s="86">
        <f>SUM(I386:I413)</f>
        <v>193412.83593214286</v>
      </c>
      <c r="J414" s="129" t="str">
        <f>IF(G414&gt;0.49,"*","")</f>
        <v>*</v>
      </c>
      <c r="L414" s="133">
        <f>SUM(L385:L413)</f>
        <v>50339.64</v>
      </c>
      <c r="M414" s="133">
        <f>SUM(M385:M413)</f>
        <v>353309.05559047626</v>
      </c>
      <c r="N414" s="130"/>
      <c r="O414" s="133"/>
      <c r="P414" s="133">
        <f t="shared" ref="P414:X414" si="1495">SUM(P386:P413)</f>
        <v>0</v>
      </c>
      <c r="Q414" s="133">
        <f t="shared" si="1495"/>
        <v>0</v>
      </c>
      <c r="R414" s="133">
        <f t="shared" si="1495"/>
        <v>0</v>
      </c>
      <c r="S414" s="133">
        <f t="shared" ref="S414:V414" si="1496">SUM(S386:S413)</f>
        <v>0</v>
      </c>
      <c r="T414" s="133">
        <f t="shared" si="1496"/>
        <v>0</v>
      </c>
      <c r="U414" s="133">
        <f t="shared" si="1496"/>
        <v>0</v>
      </c>
      <c r="V414" s="133">
        <f t="shared" si="1496"/>
        <v>0</v>
      </c>
      <c r="W414" s="133">
        <f t="shared" si="1495"/>
        <v>0</v>
      </c>
      <c r="X414" s="133">
        <f t="shared" si="1495"/>
        <v>0</v>
      </c>
      <c r="Z414" s="86">
        <f>SUM(Z386:Z413)</f>
        <v>556362.423562265</v>
      </c>
      <c r="AA414" s="86">
        <f>SUM(AA386:AA413)</f>
        <v>282771.04270578333</v>
      </c>
      <c r="AB414" s="86">
        <f>SUM(AB386:AB413)</f>
        <v>273591.38085648167</v>
      </c>
      <c r="AD414" s="86">
        <f>SUM(AD386:AD413)</f>
        <v>561926.0477978877</v>
      </c>
      <c r="AE414" s="86">
        <f>SUM(AE386:AE413)</f>
        <v>285598.75313284114</v>
      </c>
      <c r="AF414" s="86">
        <f>SUM(AF386:AF413)</f>
        <v>276327.29466504656</v>
      </c>
      <c r="AH414" s="86">
        <f>SUM(AH386:AH413)</f>
        <v>572318.5035022567</v>
      </c>
      <c r="AI414" s="86">
        <f>SUM(AI386:AI413)</f>
        <v>291007.8450875876</v>
      </c>
      <c r="AJ414" s="86">
        <f>SUM(AJ386:AJ413)</f>
        <v>281310.6584146691</v>
      </c>
      <c r="AL414" s="86">
        <f>SUM(AL386:AL413)</f>
        <v>578041.68853727938</v>
      </c>
      <c r="AM414" s="86">
        <f>SUM(AM386:AM413)</f>
        <v>293917.92353846348</v>
      </c>
      <c r="AN414" s="86">
        <f>SUM(AN386:AN413)</f>
        <v>284123.76499881584</v>
      </c>
      <c r="AO414" s="165"/>
    </row>
    <row r="415" spans="1:41" x14ac:dyDescent="0.25">
      <c r="A415" s="131"/>
      <c r="F415" s="85"/>
      <c r="G415" s="92"/>
      <c r="H415" s="92"/>
      <c r="I415" s="92"/>
      <c r="J415" s="129" t="str">
        <f>IF(J414="*","*","")</f>
        <v>*</v>
      </c>
      <c r="L415" s="132">
        <f t="shared" si="1412"/>
        <v>0</v>
      </c>
      <c r="M415" s="132">
        <f>IF(E415&gt;299,G415,0)</f>
        <v>0</v>
      </c>
      <c r="N415" s="130"/>
      <c r="O415" s="136"/>
      <c r="P415" s="136">
        <f>IF(B415=432,G415,0)</f>
        <v>0</v>
      </c>
      <c r="Q415" s="136">
        <f>IF(B415=410,H415,0)</f>
        <v>0</v>
      </c>
      <c r="R415" s="136">
        <f t="shared" ref="R415:R417" si="1497">IF(B415=432,H415,0)</f>
        <v>0</v>
      </c>
      <c r="S415" s="136">
        <f t="shared" si="1376"/>
        <v>0</v>
      </c>
      <c r="T415" s="136">
        <f t="shared" si="1494"/>
        <v>0</v>
      </c>
      <c r="U415" s="136">
        <f t="shared" si="1494"/>
        <v>0</v>
      </c>
      <c r="V415" s="136">
        <f t="shared" ref="V415:V417" si="1498">IF(B415=360,I415,0)</f>
        <v>0</v>
      </c>
      <c r="W415" s="136">
        <f>IF(B415=410,I415,0)</f>
        <v>0</v>
      </c>
      <c r="X415" s="130">
        <f t="shared" si="1227"/>
        <v>0</v>
      </c>
      <c r="Z415" s="92"/>
      <c r="AA415" s="92"/>
      <c r="AB415" s="92"/>
      <c r="AD415" s="92"/>
      <c r="AE415" s="92"/>
      <c r="AF415" s="92"/>
      <c r="AH415" s="92"/>
      <c r="AI415" s="92"/>
      <c r="AJ415" s="92"/>
      <c r="AL415" s="92"/>
      <c r="AM415" s="92"/>
      <c r="AN415" s="92"/>
      <c r="AO415" s="165"/>
    </row>
    <row r="416" spans="1:41" x14ac:dyDescent="0.25">
      <c r="A416" s="131"/>
      <c r="B416" s="63">
        <f>'Expense Input'!B137</f>
        <v>100</v>
      </c>
      <c r="C416" s="63">
        <f>'Expense Input'!C137</f>
        <v>4000</v>
      </c>
      <c r="D416" s="63">
        <f>'Expense Input'!D137</f>
        <v>8100</v>
      </c>
      <c r="E416" s="63">
        <f>'Expense Input'!E137</f>
        <v>350</v>
      </c>
      <c r="F416" s="63" t="str">
        <f>'Expense Input'!F137</f>
        <v>Repairs and Maintenance</v>
      </c>
      <c r="G416" s="64">
        <f>'Expense Input'!Q137</f>
        <v>47066.625358333331</v>
      </c>
      <c r="H416" s="64">
        <f>'Expense Input'!R137</f>
        <v>25886.643947083336</v>
      </c>
      <c r="I416" s="64">
        <f>'Expense Input'!S137</f>
        <v>21179.981411249999</v>
      </c>
      <c r="J416" s="129" t="str">
        <f t="shared" si="1365"/>
        <v>*</v>
      </c>
      <c r="L416" s="132">
        <f t="shared" si="1412"/>
        <v>0</v>
      </c>
      <c r="M416" s="132">
        <f>IF(E416&gt;299,G416,0)</f>
        <v>47066.625358333331</v>
      </c>
      <c r="N416" s="130"/>
      <c r="O416" s="136"/>
      <c r="P416" s="136">
        <f>IF(B416=490,G416,0)</f>
        <v>0</v>
      </c>
      <c r="Q416" s="136">
        <f>IF(B416=410,H416,0)</f>
        <v>0</v>
      </c>
      <c r="R416" s="136">
        <f t="shared" si="1497"/>
        <v>0</v>
      </c>
      <c r="S416" s="136">
        <f t="shared" si="1376"/>
        <v>0</v>
      </c>
      <c r="T416" s="136">
        <f t="shared" si="1494"/>
        <v>0</v>
      </c>
      <c r="U416" s="136">
        <f t="shared" si="1494"/>
        <v>0</v>
      </c>
      <c r="V416" s="136">
        <f t="shared" si="1498"/>
        <v>0</v>
      </c>
      <c r="W416" s="136">
        <f>IF(B416=410,I416,0)</f>
        <v>0</v>
      </c>
      <c r="X416" s="130">
        <f t="shared" si="1227"/>
        <v>0</v>
      </c>
      <c r="Z416" s="64">
        <f t="shared" ref="Z416" si="1499">AA416+AB416</f>
        <v>47537.291611916662</v>
      </c>
      <c r="AA416" s="64">
        <f>+H416*Inf</f>
        <v>26145.510386554168</v>
      </c>
      <c r="AB416" s="64">
        <f>+I416*Inf</f>
        <v>21391.781225362498</v>
      </c>
      <c r="AD416" s="64">
        <f t="shared" ref="AD416" si="1500">AE416+AF416</f>
        <v>48012.664528035835</v>
      </c>
      <c r="AE416" s="64">
        <f>+AA416*Inf</f>
        <v>26406.965490419709</v>
      </c>
      <c r="AF416" s="64">
        <f>+AB416*Inf</f>
        <v>21605.699037616123</v>
      </c>
      <c r="AH416" s="64">
        <f t="shared" ref="AH416" si="1501">AI416+AJ416</f>
        <v>48492.791173316189</v>
      </c>
      <c r="AI416" s="64">
        <f>+AE416*Inf</f>
        <v>26671.035145323905</v>
      </c>
      <c r="AJ416" s="64">
        <f>+AF416*Inf</f>
        <v>21821.756027992284</v>
      </c>
      <c r="AL416" s="64">
        <f t="shared" ref="AL416" si="1502">AM416+AN416</f>
        <v>48977.71908504935</v>
      </c>
      <c r="AM416" s="64">
        <f>+AI416*Inf</f>
        <v>26937.745496777145</v>
      </c>
      <c r="AN416" s="64">
        <f>+AJ416*Inf</f>
        <v>22039.973588272205</v>
      </c>
      <c r="AO416" s="165" t="s">
        <v>35</v>
      </c>
    </row>
    <row r="417" spans="1:41" x14ac:dyDescent="0.25">
      <c r="A417" s="131"/>
      <c r="B417" s="63"/>
      <c r="C417" s="63"/>
      <c r="D417" s="63"/>
      <c r="E417" s="63"/>
      <c r="F417" s="63"/>
      <c r="J417" s="129" t="str">
        <f>IF(J418="*","*","")</f>
        <v>*</v>
      </c>
      <c r="L417" s="132">
        <f t="shared" si="1412"/>
        <v>0</v>
      </c>
      <c r="M417" s="132">
        <f>IF(E417&gt;299,G417,0)</f>
        <v>0</v>
      </c>
      <c r="N417" s="130"/>
      <c r="O417" s="136"/>
      <c r="P417" s="136">
        <f>IF(B417=432,G417,0)</f>
        <v>0</v>
      </c>
      <c r="Q417" s="136">
        <f>IF(B417=410,H417,0)</f>
        <v>0</v>
      </c>
      <c r="R417" s="136">
        <f t="shared" si="1497"/>
        <v>0</v>
      </c>
      <c r="S417" s="136">
        <f t="shared" si="1376"/>
        <v>0</v>
      </c>
      <c r="T417" s="136">
        <f t="shared" si="1494"/>
        <v>0</v>
      </c>
      <c r="U417" s="136">
        <f t="shared" si="1494"/>
        <v>0</v>
      </c>
      <c r="V417" s="136">
        <f t="shared" si="1498"/>
        <v>0</v>
      </c>
      <c r="W417" s="136">
        <f>IF(B417=410,I417,0)</f>
        <v>0</v>
      </c>
      <c r="X417" s="130">
        <f t="shared" si="1227"/>
        <v>0</v>
      </c>
      <c r="AO417" s="165"/>
    </row>
    <row r="418" spans="1:41" x14ac:dyDescent="0.25">
      <c r="A418" s="131"/>
      <c r="F418" s="85" t="s">
        <v>91</v>
      </c>
      <c r="G418" s="86">
        <f>SUM(G416:G417)</f>
        <v>47066.625358333331</v>
      </c>
      <c r="H418" s="86">
        <f t="shared" ref="H418:I418" si="1503">SUM(H416:H417)</f>
        <v>25886.643947083336</v>
      </c>
      <c r="I418" s="86">
        <f t="shared" si="1503"/>
        <v>21179.981411249999</v>
      </c>
      <c r="J418" s="129" t="str">
        <f>IF(G418&gt;0.49,"*","")</f>
        <v>*</v>
      </c>
      <c r="L418" s="133">
        <f>SUM(L415:L417)</f>
        <v>0</v>
      </c>
      <c r="M418" s="133">
        <f>SUM(M415:M417)</f>
        <v>47066.625358333331</v>
      </c>
      <c r="N418" s="130"/>
      <c r="O418" s="133"/>
      <c r="P418" s="133">
        <f t="shared" ref="P418:X418" si="1504">SUM(P416:P417)</f>
        <v>0</v>
      </c>
      <c r="Q418" s="133">
        <f t="shared" si="1504"/>
        <v>0</v>
      </c>
      <c r="R418" s="133">
        <f t="shared" ref="R418:V418" si="1505">SUM(R416:R417)</f>
        <v>0</v>
      </c>
      <c r="S418" s="133">
        <f t="shared" ref="S418:U418" si="1506">SUM(S416:S417)</f>
        <v>0</v>
      </c>
      <c r="T418" s="133">
        <f t="shared" si="1506"/>
        <v>0</v>
      </c>
      <c r="U418" s="133">
        <f t="shared" si="1506"/>
        <v>0</v>
      </c>
      <c r="V418" s="133">
        <f t="shared" si="1505"/>
        <v>0</v>
      </c>
      <c r="W418" s="133">
        <f t="shared" si="1504"/>
        <v>0</v>
      </c>
      <c r="X418" s="133">
        <f t="shared" si="1504"/>
        <v>0</v>
      </c>
      <c r="Z418" s="86">
        <f>SUM(Z416:Z417)</f>
        <v>47537.291611916662</v>
      </c>
      <c r="AA418" s="86">
        <f t="shared" ref="AA418:AB418" si="1507">SUM(AA416:AA417)</f>
        <v>26145.510386554168</v>
      </c>
      <c r="AB418" s="86">
        <f t="shared" si="1507"/>
        <v>21391.781225362498</v>
      </c>
      <c r="AD418" s="86">
        <f>SUM(AD416:AD417)</f>
        <v>48012.664528035835</v>
      </c>
      <c r="AE418" s="86">
        <f t="shared" ref="AE418:AF418" si="1508">SUM(AE416:AE417)</f>
        <v>26406.965490419709</v>
      </c>
      <c r="AF418" s="86">
        <f t="shared" si="1508"/>
        <v>21605.699037616123</v>
      </c>
      <c r="AH418" s="86">
        <f>SUM(AH416:AH417)</f>
        <v>48492.791173316189</v>
      </c>
      <c r="AI418" s="86">
        <f t="shared" ref="AI418:AJ418" si="1509">SUM(AI416:AI417)</f>
        <v>26671.035145323905</v>
      </c>
      <c r="AJ418" s="86">
        <f t="shared" si="1509"/>
        <v>21821.756027992284</v>
      </c>
      <c r="AL418" s="86">
        <f>SUM(AL416:AL417)</f>
        <v>48977.71908504935</v>
      </c>
      <c r="AM418" s="86">
        <f t="shared" ref="AM418:AN418" si="1510">SUM(AM416:AM417)</f>
        <v>26937.745496777145</v>
      </c>
      <c r="AN418" s="86">
        <f t="shared" si="1510"/>
        <v>22039.973588272205</v>
      </c>
      <c r="AO418" s="165"/>
    </row>
    <row r="419" spans="1:41" x14ac:dyDescent="0.25">
      <c r="A419" s="131"/>
      <c r="B419" s="63"/>
      <c r="C419" s="63"/>
      <c r="D419" s="63"/>
      <c r="E419" s="63"/>
      <c r="F419" s="63"/>
      <c r="G419" s="65"/>
      <c r="H419" s="65"/>
      <c r="I419" s="65"/>
      <c r="J419" s="129" t="str">
        <f>IF(J418="*","*","")</f>
        <v>*</v>
      </c>
      <c r="L419" s="132">
        <f t="shared" si="1412"/>
        <v>0</v>
      </c>
      <c r="M419" s="132">
        <f t="shared" ref="M419:M439" si="1511">IF(E419&gt;299,G419,0)</f>
        <v>0</v>
      </c>
      <c r="N419" s="130"/>
      <c r="O419" s="136"/>
      <c r="P419" s="136">
        <f>IF(B419=432,G419,0)</f>
        <v>0</v>
      </c>
      <c r="Q419" s="136">
        <f>IF(B419=410,H419,0)</f>
        <v>0</v>
      </c>
      <c r="R419" s="136">
        <f t="shared" ref="R419:R439" si="1512">IF(B419=432,H419,0)</f>
        <v>0</v>
      </c>
      <c r="S419" s="136">
        <f t="shared" si="1376"/>
        <v>0</v>
      </c>
      <c r="T419" s="136">
        <f t="shared" si="1494"/>
        <v>0</v>
      </c>
      <c r="U419" s="136">
        <f t="shared" si="1494"/>
        <v>0</v>
      </c>
      <c r="V419" s="136">
        <f t="shared" ref="V419:V439" si="1513">IF(B419=360,I419,0)</f>
        <v>0</v>
      </c>
      <c r="W419" s="136">
        <f>IF(B419=410,I419,0)</f>
        <v>0</v>
      </c>
      <c r="X419" s="130">
        <f t="shared" si="1227"/>
        <v>0</v>
      </c>
      <c r="Z419" s="65"/>
      <c r="AA419" s="65"/>
      <c r="AB419" s="65"/>
      <c r="AD419" s="65"/>
      <c r="AE419" s="65"/>
      <c r="AF419" s="65"/>
      <c r="AH419" s="65"/>
      <c r="AI419" s="65"/>
      <c r="AJ419" s="65"/>
      <c r="AL419" s="65"/>
      <c r="AM419" s="65"/>
      <c r="AN419" s="65"/>
      <c r="AO419" s="165"/>
    </row>
    <row r="420" spans="1:41" s="1" customFormat="1" x14ac:dyDescent="0.25">
      <c r="A420" s="131"/>
      <c r="B420" s="134">
        <v>100</v>
      </c>
      <c r="C420" s="134">
        <v>4000</v>
      </c>
      <c r="D420" s="134">
        <v>9100</v>
      </c>
      <c r="E420" s="134">
        <v>150</v>
      </c>
      <c r="F420" s="134" t="s">
        <v>92</v>
      </c>
      <c r="G420" s="13">
        <f>+'Payroll Input'!H165</f>
        <v>34720</v>
      </c>
      <c r="H420" s="115">
        <f>+SUM('Payroll Input'!H157:H164)</f>
        <v>34720</v>
      </c>
      <c r="I420" s="136">
        <v>0</v>
      </c>
      <c r="J420" s="129" t="str">
        <f t="shared" si="1365"/>
        <v>*</v>
      </c>
      <c r="K420" s="129"/>
      <c r="L420" s="132">
        <f>IF(E420&lt;300,G420,0)</f>
        <v>34720</v>
      </c>
      <c r="M420" s="132">
        <f t="shared" si="1511"/>
        <v>0</v>
      </c>
      <c r="N420" s="130"/>
      <c r="O420" s="136"/>
      <c r="P420" s="136">
        <f t="shared" ref="P420:P438" si="1514">IF(B420=490,G420,0)</f>
        <v>0</v>
      </c>
      <c r="Q420" s="136">
        <f t="shared" ref="Q420:Q425" si="1515">IF(B420=410,I420,0)</f>
        <v>0</v>
      </c>
      <c r="R420" s="136">
        <f t="shared" si="1512"/>
        <v>0</v>
      </c>
      <c r="S420" s="136">
        <f t="shared" si="1376"/>
        <v>0</v>
      </c>
      <c r="T420" s="136">
        <f t="shared" si="1494"/>
        <v>0</v>
      </c>
      <c r="U420" s="136">
        <f t="shared" si="1494"/>
        <v>0</v>
      </c>
      <c r="V420" s="136">
        <f t="shared" si="1513"/>
        <v>0</v>
      </c>
      <c r="W420" s="136">
        <f>IF(B420=410,#REF!,0)</f>
        <v>0</v>
      </c>
      <c r="X420" s="130">
        <f t="shared" ref="X420:X450" si="1516">+W420+Q420-O420</f>
        <v>0</v>
      </c>
      <c r="Y420" s="129"/>
      <c r="Z420" s="132">
        <f t="shared" ref="Z420:Z425" si="1517">AA420+AB420</f>
        <v>37989.466666666667</v>
      </c>
      <c r="AA420" s="132">
        <f>(H420)/H$11*AA$11*Inf</f>
        <v>37989.466666666667</v>
      </c>
      <c r="AB420" s="132">
        <f>(I420)/I$11*AB$11*Inf</f>
        <v>0</v>
      </c>
      <c r="AC420" s="77"/>
      <c r="AD420" s="103">
        <f t="shared" ref="AD420:AD425" si="1518">AE420+AF420</f>
        <v>38369.361333333334</v>
      </c>
      <c r="AE420" s="103">
        <f>(AA420)/AA$11*AE$11*Inf</f>
        <v>38369.361333333334</v>
      </c>
      <c r="AF420" s="103">
        <f>(AB420)/AB$11*AF$11*Inf</f>
        <v>0</v>
      </c>
      <c r="AG420" s="77"/>
      <c r="AH420" s="103">
        <f t="shared" ref="AH420:AH425" si="1519">AI420+AJ420</f>
        <v>41734.059173333335</v>
      </c>
      <c r="AI420" s="103">
        <f>(AE420)/AE$11*AI$11*Inf</f>
        <v>41734.059173333335</v>
      </c>
      <c r="AJ420" s="103">
        <f>(AF420)/AF$11*AJ$11*Inf</f>
        <v>0</v>
      </c>
      <c r="AK420" s="77"/>
      <c r="AL420" s="103">
        <f t="shared" ref="AL420:AL425" si="1520">AM420+AN420</f>
        <v>42151.399765066672</v>
      </c>
      <c r="AM420" s="103">
        <f>(AI420)/AI$11*AM$11*Inf</f>
        <v>42151.399765066672</v>
      </c>
      <c r="AN420" s="103">
        <f>(AJ420)/AJ$11*AN$11*Inf</f>
        <v>0</v>
      </c>
      <c r="AO420" s="165" t="s">
        <v>42</v>
      </c>
    </row>
    <row r="421" spans="1:41" s="1" customFormat="1" x14ac:dyDescent="0.25">
      <c r="A421" s="131"/>
      <c r="B421" s="134">
        <v>100</v>
      </c>
      <c r="C421" s="134">
        <v>4000</v>
      </c>
      <c r="D421" s="134">
        <v>9100</v>
      </c>
      <c r="E421" s="134">
        <v>210</v>
      </c>
      <c r="F421" s="134" t="s">
        <v>45</v>
      </c>
      <c r="G421" s="13">
        <f>+'Payroll Input'!I165</f>
        <v>4135.1519999999991</v>
      </c>
      <c r="H421" s="115">
        <f>+SUM('Payroll Input'!I157:I164)</f>
        <v>4135.1519999999991</v>
      </c>
      <c r="I421" s="136">
        <v>0</v>
      </c>
      <c r="J421" s="129" t="str">
        <f t="shared" si="1365"/>
        <v>*</v>
      </c>
      <c r="K421" s="129"/>
      <c r="L421" s="132">
        <f t="shared" si="1412"/>
        <v>4135.1519999999991</v>
      </c>
      <c r="M421" s="132">
        <f>IF(E421&gt;299,G421,0)</f>
        <v>0</v>
      </c>
      <c r="N421" s="130"/>
      <c r="O421" s="136"/>
      <c r="P421" s="136">
        <f t="shared" si="1514"/>
        <v>0</v>
      </c>
      <c r="Q421" s="136">
        <f t="shared" si="1515"/>
        <v>0</v>
      </c>
      <c r="R421" s="136">
        <f t="shared" si="1512"/>
        <v>0</v>
      </c>
      <c r="S421" s="136">
        <f t="shared" si="1376"/>
        <v>0</v>
      </c>
      <c r="T421" s="136">
        <f t="shared" si="1494"/>
        <v>0</v>
      </c>
      <c r="U421" s="136">
        <f t="shared" si="1494"/>
        <v>0</v>
      </c>
      <c r="V421" s="136">
        <f t="shared" si="1513"/>
        <v>0</v>
      </c>
      <c r="W421" s="136">
        <f>IF(B421=410,#REF!,0)</f>
        <v>0</v>
      </c>
      <c r="X421" s="130">
        <f t="shared" si="1516"/>
        <v>0</v>
      </c>
      <c r="Y421" s="129"/>
      <c r="Z421" s="132">
        <f t="shared" si="1517"/>
        <v>3798.9466666666667</v>
      </c>
      <c r="AA421" s="132">
        <f>SUM(AA$420:AA$420)*10%</f>
        <v>3798.9466666666667</v>
      </c>
      <c r="AB421" s="132">
        <f>SUM(AB$420:AB$420)*10%</f>
        <v>0</v>
      </c>
      <c r="AC421" s="129"/>
      <c r="AD421" s="103">
        <f t="shared" si="1518"/>
        <v>3836.9361333333336</v>
      </c>
      <c r="AE421" s="132">
        <f>SUM(AE$420:AE$420)*10%</f>
        <v>3836.9361333333336</v>
      </c>
      <c r="AF421" s="132">
        <f>SUM(AF$420:AF$420)*10%</f>
        <v>0</v>
      </c>
      <c r="AG421" s="129"/>
      <c r="AH421" s="103">
        <f t="shared" si="1519"/>
        <v>4173.4059173333335</v>
      </c>
      <c r="AI421" s="132">
        <f>SUM(AI$420:AI$420)*10%</f>
        <v>4173.4059173333335</v>
      </c>
      <c r="AJ421" s="132">
        <f>SUM(AJ$420:AJ$420)*10%</f>
        <v>0</v>
      </c>
      <c r="AK421" s="129"/>
      <c r="AL421" s="103">
        <f t="shared" si="1520"/>
        <v>4215.1399765066672</v>
      </c>
      <c r="AM421" s="132">
        <f>SUM(AM$420:AM$420)*10%</f>
        <v>4215.1399765066672</v>
      </c>
      <c r="AN421" s="132">
        <f>SUM(AN$420:AN$420)*10%</f>
        <v>0</v>
      </c>
      <c r="AO421" s="165" t="s">
        <v>56</v>
      </c>
    </row>
    <row r="422" spans="1:41" s="1" customFormat="1" x14ac:dyDescent="0.25">
      <c r="A422" s="131"/>
      <c r="B422" s="134">
        <v>100</v>
      </c>
      <c r="C422" s="134">
        <v>4000</v>
      </c>
      <c r="D422" s="134">
        <v>9100</v>
      </c>
      <c r="E422" s="134">
        <v>220</v>
      </c>
      <c r="F422" s="134" t="s">
        <v>47</v>
      </c>
      <c r="G422" s="13">
        <f>+'Payroll Input'!K165</f>
        <v>2656.08</v>
      </c>
      <c r="H422" s="115">
        <f>+SUM('Payroll Input'!K157:K164)</f>
        <v>2656.08</v>
      </c>
      <c r="I422" s="136">
        <v>0</v>
      </c>
      <c r="J422" s="129" t="str">
        <f t="shared" si="1365"/>
        <v>*</v>
      </c>
      <c r="K422" s="129"/>
      <c r="L422" s="132">
        <f t="shared" si="1412"/>
        <v>2656.08</v>
      </c>
      <c r="M422" s="132">
        <f t="shared" si="1511"/>
        <v>0</v>
      </c>
      <c r="N422" s="130"/>
      <c r="O422" s="136"/>
      <c r="P422" s="136">
        <f t="shared" si="1514"/>
        <v>0</v>
      </c>
      <c r="Q422" s="136">
        <f t="shared" si="1515"/>
        <v>0</v>
      </c>
      <c r="R422" s="136">
        <f t="shared" si="1512"/>
        <v>0</v>
      </c>
      <c r="S422" s="136">
        <f t="shared" si="1376"/>
        <v>0</v>
      </c>
      <c r="T422" s="136">
        <f t="shared" si="1494"/>
        <v>0</v>
      </c>
      <c r="U422" s="136">
        <f t="shared" si="1494"/>
        <v>0</v>
      </c>
      <c r="V422" s="136">
        <f t="shared" si="1513"/>
        <v>0</v>
      </c>
      <c r="W422" s="136">
        <f>IF(B422=410,#REF!,0)</f>
        <v>0</v>
      </c>
      <c r="X422" s="130">
        <f t="shared" si="1516"/>
        <v>0</v>
      </c>
      <c r="Y422" s="129"/>
      <c r="Z422" s="132">
        <f t="shared" si="1517"/>
        <v>2906.1941999999999</v>
      </c>
      <c r="AA422" s="132">
        <f>SUM(AA$420:AA$420)*7.65%</f>
        <v>2906.1941999999999</v>
      </c>
      <c r="AB422" s="132">
        <f>SUM(AB$420:AB$420)*7.65%</f>
        <v>0</v>
      </c>
      <c r="AC422" s="129"/>
      <c r="AD422" s="103">
        <f t="shared" si="1518"/>
        <v>2935.2561420000002</v>
      </c>
      <c r="AE422" s="132">
        <f>SUM(AE$420:AE$420)*7.65%</f>
        <v>2935.2561420000002</v>
      </c>
      <c r="AF422" s="132">
        <f>SUM(AF$420:AF$420)*7.65%</f>
        <v>0</v>
      </c>
      <c r="AG422" s="129"/>
      <c r="AH422" s="103">
        <f t="shared" si="1519"/>
        <v>3192.6555267600002</v>
      </c>
      <c r="AI422" s="132">
        <f>SUM(AI$420:AI$420)*7.65%</f>
        <v>3192.6555267600002</v>
      </c>
      <c r="AJ422" s="132">
        <f>SUM(AJ$420:AJ$420)*7.65%</f>
        <v>0</v>
      </c>
      <c r="AK422" s="129"/>
      <c r="AL422" s="103">
        <f t="shared" si="1520"/>
        <v>3224.5820820276003</v>
      </c>
      <c r="AM422" s="132">
        <f>SUM(AM$420:AM$420)*7.65%</f>
        <v>3224.5820820276003</v>
      </c>
      <c r="AN422" s="132">
        <f>SUM(AN$420:AN$420)*7.65%</f>
        <v>0</v>
      </c>
      <c r="AO422" s="165" t="s">
        <v>57</v>
      </c>
    </row>
    <row r="423" spans="1:41" s="1" customFormat="1" ht="13.2" hidden="1" customHeight="1" x14ac:dyDescent="0.25">
      <c r="A423" s="131"/>
      <c r="B423" s="134">
        <v>100</v>
      </c>
      <c r="C423" s="134">
        <v>4000</v>
      </c>
      <c r="D423" s="134">
        <v>9100</v>
      </c>
      <c r="E423" s="134">
        <v>230</v>
      </c>
      <c r="F423" s="134" t="s">
        <v>49</v>
      </c>
      <c r="G423" s="13">
        <f>+'Payroll Input'!L165</f>
        <v>0</v>
      </c>
      <c r="H423" s="115">
        <f>+SUM('Payroll Input'!L157:L164)</f>
        <v>0</v>
      </c>
      <c r="I423" s="136">
        <v>0</v>
      </c>
      <c r="J423" s="129" t="str">
        <f t="shared" si="1365"/>
        <v/>
      </c>
      <c r="K423" s="129"/>
      <c r="L423" s="132">
        <f t="shared" si="1412"/>
        <v>0</v>
      </c>
      <c r="M423" s="132">
        <f t="shared" si="1511"/>
        <v>0</v>
      </c>
      <c r="N423" s="130"/>
      <c r="O423" s="136"/>
      <c r="P423" s="136">
        <f t="shared" si="1514"/>
        <v>0</v>
      </c>
      <c r="Q423" s="136">
        <f t="shared" si="1515"/>
        <v>0</v>
      </c>
      <c r="R423" s="136">
        <f t="shared" si="1512"/>
        <v>0</v>
      </c>
      <c r="S423" s="136">
        <f t="shared" si="1376"/>
        <v>0</v>
      </c>
      <c r="T423" s="136">
        <f t="shared" si="1494"/>
        <v>0</v>
      </c>
      <c r="U423" s="136">
        <f t="shared" si="1494"/>
        <v>0</v>
      </c>
      <c r="V423" s="136">
        <f t="shared" si="1513"/>
        <v>0</v>
      </c>
      <c r="W423" s="136">
        <f>IF(B423=410,#REF!,0)</f>
        <v>0</v>
      </c>
      <c r="X423" s="130">
        <f t="shared" si="1516"/>
        <v>0</v>
      </c>
      <c r="Y423" s="129"/>
      <c r="Z423" s="132" t="e">
        <f t="shared" si="1517"/>
        <v>#DIV/0!</v>
      </c>
      <c r="AA423" s="132">
        <f t="shared" ref="AA423:AB425" si="1521">H423/SUM(H$420:H$420)*SUM(AA$420:AA$420)</f>
        <v>0</v>
      </c>
      <c r="AB423" s="132" t="e">
        <f t="shared" si="1521"/>
        <v>#DIV/0!</v>
      </c>
      <c r="AC423" s="129"/>
      <c r="AD423" s="103" t="e">
        <f t="shared" si="1518"/>
        <v>#DIV/0!</v>
      </c>
      <c r="AE423" s="132">
        <f t="shared" ref="AE423:AF425" si="1522">AA423/SUM(AA$420:AA$420)*SUM(AE$420:AE$420)</f>
        <v>0</v>
      </c>
      <c r="AF423" s="132" t="e">
        <f t="shared" si="1522"/>
        <v>#DIV/0!</v>
      </c>
      <c r="AG423" s="129"/>
      <c r="AH423" s="103" t="e">
        <f t="shared" si="1519"/>
        <v>#DIV/0!</v>
      </c>
      <c r="AI423" s="132">
        <f t="shared" ref="AI423:AJ425" si="1523">AE423/SUM(AE$420:AE$420)*SUM(AI$420:AI$420)</f>
        <v>0</v>
      </c>
      <c r="AJ423" s="132" t="e">
        <f t="shared" si="1523"/>
        <v>#DIV/0!</v>
      </c>
      <c r="AK423" s="129"/>
      <c r="AL423" s="103" t="e">
        <f t="shared" si="1520"/>
        <v>#DIV/0!</v>
      </c>
      <c r="AM423" s="132">
        <f t="shared" ref="AM423:AN425" si="1524">AI423/SUM(AI$420:AI$420)*SUM(AM$420:AM$420)</f>
        <v>0</v>
      </c>
      <c r="AN423" s="132" t="e">
        <f t="shared" si="1524"/>
        <v>#DIV/0!</v>
      </c>
      <c r="AO423" s="165" t="s">
        <v>50</v>
      </c>
    </row>
    <row r="424" spans="1:41" s="1" customFormat="1" x14ac:dyDescent="0.25">
      <c r="A424" s="131"/>
      <c r="B424" s="134">
        <v>100</v>
      </c>
      <c r="C424" s="134">
        <v>4000</v>
      </c>
      <c r="D424" s="134">
        <v>9100</v>
      </c>
      <c r="E424" s="134">
        <v>240</v>
      </c>
      <c r="F424" s="134" t="s">
        <v>51</v>
      </c>
      <c r="G424" s="13">
        <f>+'Payroll Input'!N165</f>
        <v>149.29599999999999</v>
      </c>
      <c r="H424" s="115">
        <f>+SUM('Payroll Input'!N157:N164)</f>
        <v>149.29599999999999</v>
      </c>
      <c r="I424" s="136">
        <v>0</v>
      </c>
      <c r="J424" s="129" t="str">
        <f>IF(G424&gt;0.49,"*","")</f>
        <v>*</v>
      </c>
      <c r="K424" s="129"/>
      <c r="L424" s="132">
        <f t="shared" si="1412"/>
        <v>149.29599999999999</v>
      </c>
      <c r="M424" s="132">
        <f t="shared" si="1511"/>
        <v>0</v>
      </c>
      <c r="N424" s="130"/>
      <c r="O424" s="136"/>
      <c r="P424" s="136">
        <f t="shared" si="1514"/>
        <v>0</v>
      </c>
      <c r="Q424" s="136">
        <f t="shared" si="1515"/>
        <v>0</v>
      </c>
      <c r="R424" s="136">
        <f t="shared" si="1512"/>
        <v>0</v>
      </c>
      <c r="S424" s="136">
        <f t="shared" si="1376"/>
        <v>0</v>
      </c>
      <c r="T424" s="136">
        <f t="shared" si="1494"/>
        <v>0</v>
      </c>
      <c r="U424" s="136">
        <f t="shared" si="1494"/>
        <v>0</v>
      </c>
      <c r="V424" s="136">
        <f t="shared" si="1513"/>
        <v>0</v>
      </c>
      <c r="W424" s="136">
        <f>IF(B424=410,#REF!,0)</f>
        <v>0</v>
      </c>
      <c r="X424" s="130">
        <f t="shared" si="1516"/>
        <v>0</v>
      </c>
      <c r="Y424" s="129"/>
      <c r="Z424" s="132" t="e">
        <f t="shared" si="1517"/>
        <v>#DIV/0!</v>
      </c>
      <c r="AA424" s="132">
        <f t="shared" si="1521"/>
        <v>163.35470666666666</v>
      </c>
      <c r="AB424" s="132" t="e">
        <f t="shared" si="1521"/>
        <v>#DIV/0!</v>
      </c>
      <c r="AC424" s="129"/>
      <c r="AD424" s="103" t="e">
        <f t="shared" si="1518"/>
        <v>#DIV/0!</v>
      </c>
      <c r="AE424" s="132">
        <f t="shared" si="1522"/>
        <v>164.98825373333332</v>
      </c>
      <c r="AF424" s="132" t="e">
        <f t="shared" si="1522"/>
        <v>#DIV/0!</v>
      </c>
      <c r="AG424" s="129"/>
      <c r="AH424" s="103" t="e">
        <f t="shared" si="1519"/>
        <v>#DIV/0!</v>
      </c>
      <c r="AI424" s="132">
        <f t="shared" si="1523"/>
        <v>179.45645444533335</v>
      </c>
      <c r="AJ424" s="132" t="e">
        <f t="shared" si="1523"/>
        <v>#DIV/0!</v>
      </c>
      <c r="AK424" s="129"/>
      <c r="AL424" s="103" t="e">
        <f t="shared" si="1520"/>
        <v>#DIV/0!</v>
      </c>
      <c r="AM424" s="132">
        <f t="shared" si="1524"/>
        <v>181.2510189897867</v>
      </c>
      <c r="AN424" s="132" t="e">
        <f t="shared" si="1524"/>
        <v>#DIV/0!</v>
      </c>
      <c r="AO424" s="165" t="s">
        <v>50</v>
      </c>
    </row>
    <row r="425" spans="1:41" s="1" customFormat="1" x14ac:dyDescent="0.25">
      <c r="A425" s="131"/>
      <c r="B425" s="134">
        <v>100</v>
      </c>
      <c r="C425" s="134">
        <v>4000</v>
      </c>
      <c r="D425" s="134">
        <v>9100</v>
      </c>
      <c r="E425" s="134">
        <v>250</v>
      </c>
      <c r="F425" s="134" t="s">
        <v>52</v>
      </c>
      <c r="G425" s="13">
        <f>+'Payroll Input'!O165</f>
        <v>104.16</v>
      </c>
      <c r="H425" s="115">
        <f>+SUM('Payroll Input'!O157:O164)</f>
        <v>104.16</v>
      </c>
      <c r="I425" s="136">
        <v>0</v>
      </c>
      <c r="J425" s="129" t="str">
        <f t="shared" si="1365"/>
        <v>*</v>
      </c>
      <c r="K425" s="129"/>
      <c r="L425" s="132">
        <f t="shared" si="1412"/>
        <v>104.16</v>
      </c>
      <c r="M425" s="132">
        <f t="shared" si="1511"/>
        <v>0</v>
      </c>
      <c r="N425" s="130"/>
      <c r="O425" s="136"/>
      <c r="P425" s="136">
        <f t="shared" si="1514"/>
        <v>0</v>
      </c>
      <c r="Q425" s="136">
        <f t="shared" si="1515"/>
        <v>0</v>
      </c>
      <c r="R425" s="136">
        <f t="shared" si="1512"/>
        <v>0</v>
      </c>
      <c r="S425" s="136">
        <f t="shared" si="1376"/>
        <v>0</v>
      </c>
      <c r="T425" s="136">
        <f t="shared" si="1494"/>
        <v>0</v>
      </c>
      <c r="U425" s="136">
        <f t="shared" si="1494"/>
        <v>0</v>
      </c>
      <c r="V425" s="136">
        <f t="shared" si="1513"/>
        <v>0</v>
      </c>
      <c r="W425" s="136">
        <f>IF(B425=410,#REF!,0)</f>
        <v>0</v>
      </c>
      <c r="X425" s="130">
        <f t="shared" si="1516"/>
        <v>0</v>
      </c>
      <c r="Y425" s="129"/>
      <c r="Z425" s="132" t="e">
        <f t="shared" si="1517"/>
        <v>#DIV/0!</v>
      </c>
      <c r="AA425" s="132">
        <f t="shared" si="1521"/>
        <v>113.9684</v>
      </c>
      <c r="AB425" s="132" t="e">
        <f t="shared" si="1521"/>
        <v>#DIV/0!</v>
      </c>
      <c r="AC425" s="129"/>
      <c r="AD425" s="103" t="e">
        <f t="shared" si="1518"/>
        <v>#DIV/0!</v>
      </c>
      <c r="AE425" s="132">
        <f t="shared" si="1522"/>
        <v>115.10808400000001</v>
      </c>
      <c r="AF425" s="132" t="e">
        <f t="shared" si="1522"/>
        <v>#DIV/0!</v>
      </c>
      <c r="AG425" s="129"/>
      <c r="AH425" s="103" t="e">
        <f t="shared" si="1519"/>
        <v>#DIV/0!</v>
      </c>
      <c r="AI425" s="132">
        <f t="shared" si="1523"/>
        <v>125.20217752000001</v>
      </c>
      <c r="AJ425" s="132" t="e">
        <f t="shared" si="1523"/>
        <v>#DIV/0!</v>
      </c>
      <c r="AK425" s="129"/>
      <c r="AL425" s="103" t="e">
        <f t="shared" si="1520"/>
        <v>#DIV/0!</v>
      </c>
      <c r="AM425" s="132">
        <f t="shared" si="1524"/>
        <v>126.45419929520001</v>
      </c>
      <c r="AN425" s="132" t="e">
        <f t="shared" si="1524"/>
        <v>#DIV/0!</v>
      </c>
      <c r="AO425" s="165" t="s">
        <v>50</v>
      </c>
    </row>
    <row r="426" spans="1:41" s="1" customFormat="1" ht="13.2" hidden="1" customHeight="1" x14ac:dyDescent="0.25">
      <c r="A426" s="131"/>
      <c r="B426" s="134"/>
      <c r="C426" s="134"/>
      <c r="D426" s="134"/>
      <c r="E426" s="134"/>
      <c r="F426" s="134"/>
      <c r="G426" s="136"/>
      <c r="H426" s="136"/>
      <c r="I426" s="136"/>
      <c r="J426" s="129" t="str">
        <f t="shared" si="1365"/>
        <v/>
      </c>
      <c r="K426" s="129"/>
      <c r="L426" s="132">
        <f t="shared" si="1412"/>
        <v>0</v>
      </c>
      <c r="M426" s="132">
        <f t="shared" si="1511"/>
        <v>0</v>
      </c>
      <c r="N426" s="130"/>
      <c r="O426" s="136"/>
      <c r="P426" s="136">
        <f t="shared" si="1514"/>
        <v>0</v>
      </c>
      <c r="Q426" s="136">
        <f t="shared" ref="Q426:Q439" si="1525">IF(B426=410,H426,0)</f>
        <v>0</v>
      </c>
      <c r="R426" s="136">
        <f t="shared" si="1512"/>
        <v>0</v>
      </c>
      <c r="S426" s="136">
        <f t="shared" si="1376"/>
        <v>0</v>
      </c>
      <c r="T426" s="136">
        <f t="shared" si="1494"/>
        <v>0</v>
      </c>
      <c r="U426" s="136">
        <f t="shared" si="1494"/>
        <v>0</v>
      </c>
      <c r="V426" s="136">
        <f t="shared" si="1513"/>
        <v>0</v>
      </c>
      <c r="W426" s="136">
        <f t="shared" ref="W426:W439" si="1526">IF(B426=410,I426,0)</f>
        <v>0</v>
      </c>
      <c r="X426" s="130">
        <f t="shared" si="1516"/>
        <v>0</v>
      </c>
      <c r="Y426" s="129"/>
      <c r="Z426" s="136"/>
      <c r="AA426" s="136"/>
      <c r="AB426" s="136"/>
      <c r="AC426" s="129"/>
      <c r="AD426" s="136"/>
      <c r="AE426" s="136"/>
      <c r="AF426" s="136"/>
      <c r="AG426" s="129"/>
      <c r="AH426" s="136"/>
      <c r="AI426" s="136"/>
      <c r="AJ426" s="136"/>
      <c r="AK426" s="129"/>
      <c r="AL426" s="136"/>
      <c r="AM426" s="136"/>
      <c r="AN426" s="136"/>
      <c r="AO426" s="165"/>
    </row>
    <row r="427" spans="1:41" s="1" customFormat="1" x14ac:dyDescent="0.25">
      <c r="A427" s="131"/>
      <c r="B427" s="134">
        <f>'Expense Input'!B138</f>
        <v>100</v>
      </c>
      <c r="C427" s="134">
        <f>'Expense Input'!C138</f>
        <v>4000</v>
      </c>
      <c r="D427" s="134">
        <f>'Expense Input'!D138</f>
        <v>9100</v>
      </c>
      <c r="E427" s="134">
        <f>'Expense Input'!E138</f>
        <v>510</v>
      </c>
      <c r="F427" s="134" t="str">
        <f>'Expense Input'!F138</f>
        <v>Aftercare Supplies</v>
      </c>
      <c r="G427" s="136">
        <f>'Expense Input'!Q138</f>
        <v>504.64650000000012</v>
      </c>
      <c r="H427" s="136">
        <f>'Expense Input'!R138</f>
        <v>504.64650000000012</v>
      </c>
      <c r="I427" s="136">
        <f>'Expense Input'!S138</f>
        <v>0</v>
      </c>
      <c r="J427" s="129" t="str">
        <f t="shared" ref="J427" si="1527">IF(G427&gt;0.49,"*","")</f>
        <v>*</v>
      </c>
      <c r="K427" s="129"/>
      <c r="L427" s="132">
        <f t="shared" ref="L427" si="1528">IF(E427&lt;300,G427,0)</f>
        <v>0</v>
      </c>
      <c r="M427" s="132">
        <f t="shared" ref="M427" si="1529">IF(E427&gt;299,G427,0)</f>
        <v>504.64650000000012</v>
      </c>
      <c r="N427" s="130"/>
      <c r="O427" s="136"/>
      <c r="P427" s="136">
        <f t="shared" si="1514"/>
        <v>0</v>
      </c>
      <c r="Q427" s="136">
        <f t="shared" si="1525"/>
        <v>0</v>
      </c>
      <c r="R427" s="136">
        <f t="shared" si="1512"/>
        <v>0</v>
      </c>
      <c r="S427" s="136">
        <f t="shared" si="1376"/>
        <v>0</v>
      </c>
      <c r="T427" s="136">
        <f t="shared" si="1494"/>
        <v>0</v>
      </c>
      <c r="U427" s="136">
        <f t="shared" si="1494"/>
        <v>0</v>
      </c>
      <c r="V427" s="136">
        <f t="shared" si="1513"/>
        <v>0</v>
      </c>
      <c r="W427" s="136">
        <f t="shared" si="1526"/>
        <v>0</v>
      </c>
      <c r="X427" s="130">
        <f t="shared" ref="X427" si="1530">+W427+Q427-O427</f>
        <v>0</v>
      </c>
      <c r="Y427" s="129"/>
      <c r="Z427" s="64">
        <f t="shared" ref="Z427:Z428" si="1531">AA427+AB427</f>
        <v>509.69296500000013</v>
      </c>
      <c r="AA427" s="64">
        <f>+H427*Inf</f>
        <v>509.69296500000013</v>
      </c>
      <c r="AB427" s="64">
        <f>+I427*Inf</f>
        <v>0</v>
      </c>
      <c r="AC427" s="77"/>
      <c r="AD427" s="64">
        <f t="shared" ref="AD427:AD428" si="1532">AE427+AF427</f>
        <v>514.78989465000018</v>
      </c>
      <c r="AE427" s="64">
        <f>+AA427*Inf</f>
        <v>514.78989465000018</v>
      </c>
      <c r="AF427" s="64">
        <f>+AB427*Inf</f>
        <v>0</v>
      </c>
      <c r="AG427" s="77"/>
      <c r="AH427" s="64">
        <f t="shared" ref="AH427:AH428" si="1533">AI427+AJ427</f>
        <v>519.93779359650023</v>
      </c>
      <c r="AI427" s="64">
        <f>+AE427*Inf</f>
        <v>519.93779359650023</v>
      </c>
      <c r="AJ427" s="64">
        <f>+AF427*Inf</f>
        <v>0</v>
      </c>
      <c r="AK427" s="77"/>
      <c r="AL427" s="64">
        <f t="shared" ref="AL427:AL428" si="1534">AM427+AN427</f>
        <v>525.13717153246523</v>
      </c>
      <c r="AM427" s="64">
        <f>+AI427*Inf</f>
        <v>525.13717153246523</v>
      </c>
      <c r="AN427" s="64">
        <f>+AJ427*Inf</f>
        <v>0</v>
      </c>
      <c r="AO427" s="165" t="s">
        <v>35</v>
      </c>
    </row>
    <row r="428" spans="1:41" s="1" customFormat="1" ht="13.2" hidden="1" customHeight="1" x14ac:dyDescent="0.25">
      <c r="A428" s="131"/>
      <c r="B428" s="134">
        <f>'Expense Input'!B139</f>
        <v>100</v>
      </c>
      <c r="C428" s="134">
        <f>'Expense Input'!C139</f>
        <v>4000</v>
      </c>
      <c r="D428" s="134">
        <f>'Expense Input'!D139</f>
        <v>9100</v>
      </c>
      <c r="E428" s="134">
        <f>'Expense Input'!E139</f>
        <v>705</v>
      </c>
      <c r="F428" s="134" t="str">
        <f>'Expense Input'!F139</f>
        <v>Donation</v>
      </c>
      <c r="G428" s="136">
        <f>'Expense Input'!Q139</f>
        <v>0</v>
      </c>
      <c r="H428" s="136">
        <f>'Expense Input'!R139</f>
        <v>0</v>
      </c>
      <c r="I428" s="136">
        <f>'Expense Input'!S139</f>
        <v>0</v>
      </c>
      <c r="J428" s="129" t="str">
        <f t="shared" si="1365"/>
        <v/>
      </c>
      <c r="K428" s="129"/>
      <c r="L428" s="132">
        <f t="shared" si="1412"/>
        <v>0</v>
      </c>
      <c r="M428" s="132">
        <f t="shared" si="1511"/>
        <v>0</v>
      </c>
      <c r="N428" s="130"/>
      <c r="O428" s="136"/>
      <c r="P428" s="136">
        <f t="shared" si="1514"/>
        <v>0</v>
      </c>
      <c r="Q428" s="136">
        <f t="shared" si="1525"/>
        <v>0</v>
      </c>
      <c r="R428" s="136">
        <f t="shared" si="1512"/>
        <v>0</v>
      </c>
      <c r="S428" s="136">
        <f t="shared" si="1376"/>
        <v>0</v>
      </c>
      <c r="T428" s="136">
        <f t="shared" si="1494"/>
        <v>0</v>
      </c>
      <c r="U428" s="136">
        <f t="shared" si="1494"/>
        <v>0</v>
      </c>
      <c r="V428" s="136">
        <f t="shared" si="1513"/>
        <v>0</v>
      </c>
      <c r="W428" s="136">
        <f t="shared" si="1526"/>
        <v>0</v>
      </c>
      <c r="X428" s="130">
        <f t="shared" si="1516"/>
        <v>0</v>
      </c>
      <c r="Y428" s="129"/>
      <c r="Z428" s="64">
        <f t="shared" si="1531"/>
        <v>0</v>
      </c>
      <c r="AA428" s="64">
        <f>+H428*Inf</f>
        <v>0</v>
      </c>
      <c r="AB428" s="64">
        <f>+I428*Inf</f>
        <v>0</v>
      </c>
      <c r="AC428" s="77"/>
      <c r="AD428" s="64">
        <f t="shared" si="1532"/>
        <v>0</v>
      </c>
      <c r="AE428" s="64">
        <f>+AA428*Inf</f>
        <v>0</v>
      </c>
      <c r="AF428" s="64">
        <f>+AB428*Inf</f>
        <v>0</v>
      </c>
      <c r="AG428" s="77"/>
      <c r="AH428" s="64">
        <f t="shared" si="1533"/>
        <v>0</v>
      </c>
      <c r="AI428" s="64">
        <f>+AE428*Inf</f>
        <v>0</v>
      </c>
      <c r="AJ428" s="64">
        <f>+AF428*Inf</f>
        <v>0</v>
      </c>
      <c r="AK428" s="77"/>
      <c r="AL428" s="64">
        <f t="shared" si="1534"/>
        <v>0</v>
      </c>
      <c r="AM428" s="64">
        <f>+AI428*Inf</f>
        <v>0</v>
      </c>
      <c r="AN428" s="64">
        <f>+AJ428*Inf</f>
        <v>0</v>
      </c>
      <c r="AO428" s="165" t="s">
        <v>35</v>
      </c>
    </row>
    <row r="429" spans="1:41" ht="13.2" hidden="1" customHeight="1" x14ac:dyDescent="0.25">
      <c r="A429" s="131"/>
      <c r="B429" s="134"/>
      <c r="C429" s="134"/>
      <c r="D429" s="134"/>
      <c r="E429" s="134"/>
      <c r="F429" s="134"/>
      <c r="G429" s="136"/>
      <c r="H429" s="136"/>
      <c r="I429" s="136"/>
      <c r="J429" s="129" t="str">
        <f t="shared" si="1365"/>
        <v/>
      </c>
      <c r="L429" s="132">
        <f t="shared" si="1412"/>
        <v>0</v>
      </c>
      <c r="M429" s="132">
        <f t="shared" si="1511"/>
        <v>0</v>
      </c>
      <c r="N429" s="130"/>
      <c r="O429" s="136"/>
      <c r="P429" s="136">
        <f t="shared" si="1514"/>
        <v>0</v>
      </c>
      <c r="Q429" s="136">
        <f t="shared" si="1525"/>
        <v>0</v>
      </c>
      <c r="R429" s="136">
        <f t="shared" si="1512"/>
        <v>0</v>
      </c>
      <c r="S429" s="136">
        <f t="shared" si="1376"/>
        <v>0</v>
      </c>
      <c r="T429" s="136">
        <f t="shared" si="1494"/>
        <v>0</v>
      </c>
      <c r="U429" s="136">
        <f t="shared" si="1494"/>
        <v>0</v>
      </c>
      <c r="V429" s="136">
        <f t="shared" si="1513"/>
        <v>0</v>
      </c>
      <c r="W429" s="136">
        <f t="shared" si="1526"/>
        <v>0</v>
      </c>
      <c r="X429" s="130">
        <f t="shared" si="1516"/>
        <v>0</v>
      </c>
      <c r="Z429" s="136"/>
      <c r="AA429" s="136"/>
      <c r="AB429" s="136"/>
      <c r="AD429" s="136"/>
      <c r="AE429" s="136"/>
      <c r="AF429" s="136"/>
      <c r="AH429" s="136"/>
      <c r="AI429" s="136"/>
      <c r="AJ429" s="136"/>
      <c r="AL429" s="136"/>
      <c r="AM429" s="136"/>
      <c r="AN429" s="136"/>
      <c r="AO429" s="165"/>
    </row>
    <row r="430" spans="1:41" ht="13.2" hidden="1" customHeight="1" x14ac:dyDescent="0.25">
      <c r="A430" s="131"/>
      <c r="B430" s="134"/>
      <c r="C430" s="134"/>
      <c r="D430" s="134"/>
      <c r="E430" s="134"/>
      <c r="F430" s="134"/>
      <c r="G430" s="136"/>
      <c r="H430" s="136"/>
      <c r="I430" s="136"/>
      <c r="J430" s="129" t="str">
        <f t="shared" ref="J430" si="1535">IF(G430&gt;0.49,"*","")</f>
        <v/>
      </c>
      <c r="L430" s="132">
        <f t="shared" ref="L430" si="1536">IF(E430&lt;300,G430,0)</f>
        <v>0</v>
      </c>
      <c r="M430" s="132">
        <f t="shared" ref="M430" si="1537">IF(E430&gt;299,G430,0)</f>
        <v>0</v>
      </c>
      <c r="N430" s="130"/>
      <c r="O430" s="136"/>
      <c r="P430" s="136">
        <f t="shared" si="1514"/>
        <v>0</v>
      </c>
      <c r="Q430" s="136">
        <f t="shared" si="1525"/>
        <v>0</v>
      </c>
      <c r="R430" s="136">
        <f t="shared" si="1512"/>
        <v>0</v>
      </c>
      <c r="S430" s="136">
        <f t="shared" si="1376"/>
        <v>0</v>
      </c>
      <c r="T430" s="136">
        <f t="shared" si="1494"/>
        <v>0</v>
      </c>
      <c r="U430" s="136">
        <f t="shared" si="1494"/>
        <v>0</v>
      </c>
      <c r="V430" s="136">
        <f t="shared" si="1513"/>
        <v>0</v>
      </c>
      <c r="W430" s="136">
        <f t="shared" si="1526"/>
        <v>0</v>
      </c>
      <c r="X430" s="130">
        <f t="shared" ref="X430" si="1538">+W430+Q430-O430</f>
        <v>0</v>
      </c>
      <c r="Z430" s="136"/>
      <c r="AA430" s="136"/>
      <c r="AB430" s="136"/>
      <c r="AD430" s="136"/>
      <c r="AE430" s="136"/>
      <c r="AF430" s="136"/>
      <c r="AH430" s="136"/>
      <c r="AI430" s="136"/>
      <c r="AJ430" s="136"/>
      <c r="AL430" s="136"/>
      <c r="AM430" s="136"/>
      <c r="AN430" s="136"/>
      <c r="AO430" s="165"/>
    </row>
    <row r="431" spans="1:41" s="1" customFormat="1" ht="13.2" hidden="1" customHeight="1" x14ac:dyDescent="0.25">
      <c r="A431" s="131"/>
      <c r="B431" s="134"/>
      <c r="C431" s="134"/>
      <c r="D431" s="134"/>
      <c r="E431" s="134"/>
      <c r="F431" s="134"/>
      <c r="G431" s="136"/>
      <c r="H431" s="136"/>
      <c r="I431" s="136"/>
      <c r="J431" s="129" t="str">
        <f t="shared" si="1365"/>
        <v/>
      </c>
      <c r="K431" s="129"/>
      <c r="L431" s="132">
        <f t="shared" si="1412"/>
        <v>0</v>
      </c>
      <c r="M431" s="132">
        <f t="shared" si="1511"/>
        <v>0</v>
      </c>
      <c r="N431" s="130"/>
      <c r="O431" s="136"/>
      <c r="P431" s="136">
        <f t="shared" si="1514"/>
        <v>0</v>
      </c>
      <c r="Q431" s="136">
        <f t="shared" si="1525"/>
        <v>0</v>
      </c>
      <c r="R431" s="136">
        <f t="shared" si="1512"/>
        <v>0</v>
      </c>
      <c r="S431" s="136">
        <f t="shared" si="1376"/>
        <v>0</v>
      </c>
      <c r="T431" s="136">
        <f t="shared" si="1494"/>
        <v>0</v>
      </c>
      <c r="U431" s="136">
        <f t="shared" si="1494"/>
        <v>0</v>
      </c>
      <c r="V431" s="136">
        <f t="shared" si="1513"/>
        <v>0</v>
      </c>
      <c r="W431" s="136">
        <f t="shared" si="1526"/>
        <v>0</v>
      </c>
      <c r="X431" s="130">
        <f t="shared" si="1516"/>
        <v>0</v>
      </c>
      <c r="Y431" s="129"/>
      <c r="Z431" s="136"/>
      <c r="AA431" s="136"/>
      <c r="AB431" s="136"/>
      <c r="AC431" s="129"/>
      <c r="AD431" s="136"/>
      <c r="AE431" s="136"/>
      <c r="AF431" s="136"/>
      <c r="AG431" s="129"/>
      <c r="AH431" s="136"/>
      <c r="AI431" s="136"/>
      <c r="AJ431" s="136"/>
      <c r="AK431" s="129"/>
      <c r="AL431" s="136"/>
      <c r="AM431" s="136"/>
      <c r="AN431" s="136"/>
      <c r="AO431" s="165"/>
    </row>
    <row r="432" spans="1:41" s="1" customFormat="1" ht="13.2" hidden="1" customHeight="1" x14ac:dyDescent="0.25">
      <c r="A432" s="131"/>
      <c r="B432" s="134"/>
      <c r="C432" s="134"/>
      <c r="D432" s="134"/>
      <c r="E432" s="134"/>
      <c r="F432" s="134"/>
      <c r="G432" s="136"/>
      <c r="H432" s="136"/>
      <c r="I432" s="136"/>
      <c r="J432" s="129" t="str">
        <f t="shared" si="1365"/>
        <v/>
      </c>
      <c r="K432" s="129"/>
      <c r="L432" s="132">
        <f t="shared" si="1412"/>
        <v>0</v>
      </c>
      <c r="M432" s="132">
        <f t="shared" si="1511"/>
        <v>0</v>
      </c>
      <c r="N432" s="130"/>
      <c r="O432" s="136"/>
      <c r="P432" s="136">
        <f t="shared" si="1514"/>
        <v>0</v>
      </c>
      <c r="Q432" s="136">
        <f t="shared" si="1525"/>
        <v>0</v>
      </c>
      <c r="R432" s="136">
        <f t="shared" si="1512"/>
        <v>0</v>
      </c>
      <c r="S432" s="136">
        <f t="shared" si="1376"/>
        <v>0</v>
      </c>
      <c r="T432" s="136">
        <f t="shared" si="1494"/>
        <v>0</v>
      </c>
      <c r="U432" s="136">
        <f t="shared" si="1494"/>
        <v>0</v>
      </c>
      <c r="V432" s="136">
        <f t="shared" si="1513"/>
        <v>0</v>
      </c>
      <c r="W432" s="136">
        <f t="shared" si="1526"/>
        <v>0</v>
      </c>
      <c r="X432" s="130">
        <f t="shared" si="1516"/>
        <v>0</v>
      </c>
      <c r="Y432" s="129"/>
      <c r="Z432" s="136"/>
      <c r="AA432" s="136"/>
      <c r="AB432" s="136"/>
      <c r="AC432" s="129"/>
      <c r="AD432" s="136"/>
      <c r="AE432" s="136"/>
      <c r="AF432" s="136"/>
      <c r="AG432" s="129"/>
      <c r="AH432" s="136"/>
      <c r="AI432" s="136"/>
      <c r="AJ432" s="136"/>
      <c r="AK432" s="129"/>
      <c r="AL432" s="136"/>
      <c r="AM432" s="136"/>
      <c r="AN432" s="136"/>
      <c r="AO432" s="165"/>
    </row>
    <row r="433" spans="1:41" s="1" customFormat="1" ht="13.2" hidden="1" customHeight="1" x14ac:dyDescent="0.25">
      <c r="A433" s="131"/>
      <c r="B433" s="134"/>
      <c r="C433" s="134"/>
      <c r="D433" s="134"/>
      <c r="E433" s="134"/>
      <c r="F433" s="134"/>
      <c r="G433" s="136"/>
      <c r="H433" s="136"/>
      <c r="I433" s="136"/>
      <c r="J433" s="129" t="str">
        <f t="shared" si="1365"/>
        <v/>
      </c>
      <c r="K433" s="129"/>
      <c r="L433" s="132">
        <f t="shared" si="1412"/>
        <v>0</v>
      </c>
      <c r="M433" s="132">
        <f t="shared" si="1511"/>
        <v>0</v>
      </c>
      <c r="N433" s="130"/>
      <c r="O433" s="136"/>
      <c r="P433" s="136">
        <f t="shared" si="1514"/>
        <v>0</v>
      </c>
      <c r="Q433" s="136">
        <f t="shared" si="1525"/>
        <v>0</v>
      </c>
      <c r="R433" s="136">
        <f t="shared" si="1512"/>
        <v>0</v>
      </c>
      <c r="S433" s="136">
        <f t="shared" si="1376"/>
        <v>0</v>
      </c>
      <c r="T433" s="136">
        <f t="shared" si="1494"/>
        <v>0</v>
      </c>
      <c r="U433" s="136">
        <f t="shared" si="1494"/>
        <v>0</v>
      </c>
      <c r="V433" s="136">
        <f t="shared" si="1513"/>
        <v>0</v>
      </c>
      <c r="W433" s="136">
        <f t="shared" si="1526"/>
        <v>0</v>
      </c>
      <c r="X433" s="130">
        <f t="shared" si="1516"/>
        <v>0</v>
      </c>
      <c r="Y433" s="129"/>
      <c r="Z433" s="136"/>
      <c r="AA433" s="136"/>
      <c r="AB433" s="136"/>
      <c r="AC433" s="129"/>
      <c r="AD433" s="136"/>
      <c r="AE433" s="136"/>
      <c r="AF433" s="136"/>
      <c r="AG433" s="129"/>
      <c r="AH433" s="136"/>
      <c r="AI433" s="136"/>
      <c r="AJ433" s="136"/>
      <c r="AK433" s="129"/>
      <c r="AL433" s="136"/>
      <c r="AM433" s="136"/>
      <c r="AN433" s="136"/>
      <c r="AO433" s="165"/>
    </row>
    <row r="434" spans="1:41" s="1" customFormat="1" ht="13.2" hidden="1" customHeight="1" x14ac:dyDescent="0.25">
      <c r="A434" s="131"/>
      <c r="B434" s="134"/>
      <c r="C434" s="134"/>
      <c r="D434" s="134"/>
      <c r="E434" s="134"/>
      <c r="F434" s="134"/>
      <c r="G434" s="136"/>
      <c r="H434" s="136"/>
      <c r="I434" s="136"/>
      <c r="J434" s="129" t="str">
        <f t="shared" si="1365"/>
        <v/>
      </c>
      <c r="K434" s="129"/>
      <c r="L434" s="132">
        <f t="shared" si="1412"/>
        <v>0</v>
      </c>
      <c r="M434" s="132">
        <f t="shared" si="1511"/>
        <v>0</v>
      </c>
      <c r="N434" s="130"/>
      <c r="O434" s="136"/>
      <c r="P434" s="136">
        <f t="shared" si="1514"/>
        <v>0</v>
      </c>
      <c r="Q434" s="136">
        <f t="shared" si="1525"/>
        <v>0</v>
      </c>
      <c r="R434" s="136">
        <f t="shared" si="1512"/>
        <v>0</v>
      </c>
      <c r="S434" s="136">
        <f t="shared" si="1376"/>
        <v>0</v>
      </c>
      <c r="T434" s="136">
        <f t="shared" si="1494"/>
        <v>0</v>
      </c>
      <c r="U434" s="136">
        <f t="shared" si="1494"/>
        <v>0</v>
      </c>
      <c r="V434" s="136">
        <f t="shared" si="1513"/>
        <v>0</v>
      </c>
      <c r="W434" s="136">
        <f t="shared" si="1526"/>
        <v>0</v>
      </c>
      <c r="X434" s="130">
        <f t="shared" si="1516"/>
        <v>0</v>
      </c>
      <c r="Y434" s="129"/>
      <c r="Z434" s="136"/>
      <c r="AA434" s="136"/>
      <c r="AB434" s="136"/>
      <c r="AC434" s="129"/>
      <c r="AD434" s="136"/>
      <c r="AE434" s="136"/>
      <c r="AF434" s="136"/>
      <c r="AG434" s="129"/>
      <c r="AH434" s="136"/>
      <c r="AI434" s="136"/>
      <c r="AJ434" s="136"/>
      <c r="AK434" s="129"/>
      <c r="AL434" s="136"/>
      <c r="AM434" s="136"/>
      <c r="AN434" s="136"/>
      <c r="AO434" s="165"/>
    </row>
    <row r="435" spans="1:41" s="1" customFormat="1" ht="13.2" hidden="1" customHeight="1" x14ac:dyDescent="0.25">
      <c r="A435" s="131"/>
      <c r="B435" s="134"/>
      <c r="C435" s="134"/>
      <c r="D435" s="134"/>
      <c r="E435" s="134"/>
      <c r="F435" s="134"/>
      <c r="G435" s="136"/>
      <c r="H435" s="136"/>
      <c r="I435" s="136"/>
      <c r="J435" s="129" t="str">
        <f t="shared" si="1365"/>
        <v/>
      </c>
      <c r="K435" s="129"/>
      <c r="L435" s="132">
        <f t="shared" si="1412"/>
        <v>0</v>
      </c>
      <c r="M435" s="132">
        <f t="shared" si="1511"/>
        <v>0</v>
      </c>
      <c r="N435" s="130"/>
      <c r="O435" s="136"/>
      <c r="P435" s="136">
        <f t="shared" si="1514"/>
        <v>0</v>
      </c>
      <c r="Q435" s="136">
        <f t="shared" si="1525"/>
        <v>0</v>
      </c>
      <c r="R435" s="136">
        <f t="shared" si="1512"/>
        <v>0</v>
      </c>
      <c r="S435" s="136">
        <f t="shared" si="1376"/>
        <v>0</v>
      </c>
      <c r="T435" s="136">
        <f t="shared" si="1494"/>
        <v>0</v>
      </c>
      <c r="U435" s="136">
        <f t="shared" si="1494"/>
        <v>0</v>
      </c>
      <c r="V435" s="136">
        <f t="shared" si="1513"/>
        <v>0</v>
      </c>
      <c r="W435" s="136">
        <f t="shared" si="1526"/>
        <v>0</v>
      </c>
      <c r="X435" s="130">
        <f t="shared" si="1516"/>
        <v>0</v>
      </c>
      <c r="Y435" s="129"/>
      <c r="Z435" s="136"/>
      <c r="AA435" s="136"/>
      <c r="AB435" s="136"/>
      <c r="AC435" s="129"/>
      <c r="AD435" s="136"/>
      <c r="AE435" s="136"/>
      <c r="AF435" s="136"/>
      <c r="AG435" s="129"/>
      <c r="AH435" s="136"/>
      <c r="AI435" s="136"/>
      <c r="AJ435" s="136"/>
      <c r="AK435" s="129"/>
      <c r="AL435" s="136"/>
      <c r="AM435" s="136"/>
      <c r="AN435" s="136"/>
      <c r="AO435" s="165"/>
    </row>
    <row r="436" spans="1:41" s="1" customFormat="1" ht="13.2" hidden="1" customHeight="1" x14ac:dyDescent="0.25">
      <c r="A436" s="131"/>
      <c r="B436" s="134"/>
      <c r="C436" s="134"/>
      <c r="D436" s="134"/>
      <c r="E436" s="134"/>
      <c r="F436" s="134"/>
      <c r="G436" s="136"/>
      <c r="H436" s="136"/>
      <c r="I436" s="136"/>
      <c r="J436" s="129" t="str">
        <f t="shared" si="1365"/>
        <v/>
      </c>
      <c r="K436" s="129"/>
      <c r="L436" s="132">
        <f t="shared" si="1412"/>
        <v>0</v>
      </c>
      <c r="M436" s="132">
        <f t="shared" si="1511"/>
        <v>0</v>
      </c>
      <c r="N436" s="130"/>
      <c r="O436" s="136"/>
      <c r="P436" s="136">
        <f t="shared" si="1514"/>
        <v>0</v>
      </c>
      <c r="Q436" s="136">
        <f t="shared" si="1525"/>
        <v>0</v>
      </c>
      <c r="R436" s="136">
        <f t="shared" si="1512"/>
        <v>0</v>
      </c>
      <c r="S436" s="136">
        <f t="shared" si="1376"/>
        <v>0</v>
      </c>
      <c r="T436" s="136">
        <f t="shared" si="1494"/>
        <v>0</v>
      </c>
      <c r="U436" s="136">
        <f t="shared" si="1494"/>
        <v>0</v>
      </c>
      <c r="V436" s="136">
        <f t="shared" si="1513"/>
        <v>0</v>
      </c>
      <c r="W436" s="136">
        <f t="shared" si="1526"/>
        <v>0</v>
      </c>
      <c r="X436" s="130">
        <f t="shared" si="1516"/>
        <v>0</v>
      </c>
      <c r="Y436" s="129"/>
      <c r="Z436" s="136"/>
      <c r="AA436" s="136"/>
      <c r="AB436" s="136"/>
      <c r="AC436" s="129"/>
      <c r="AD436" s="136"/>
      <c r="AE436" s="136"/>
      <c r="AF436" s="136"/>
      <c r="AG436" s="129"/>
      <c r="AH436" s="136"/>
      <c r="AI436" s="136"/>
      <c r="AJ436" s="136"/>
      <c r="AK436" s="129"/>
      <c r="AL436" s="136"/>
      <c r="AM436" s="136"/>
      <c r="AN436" s="136"/>
      <c r="AO436" s="165"/>
    </row>
    <row r="437" spans="1:41" s="1" customFormat="1" ht="13.2" hidden="1" customHeight="1" x14ac:dyDescent="0.25">
      <c r="A437" s="131"/>
      <c r="B437" s="134"/>
      <c r="C437" s="134"/>
      <c r="D437" s="134"/>
      <c r="E437" s="134"/>
      <c r="F437" s="134"/>
      <c r="G437" s="136"/>
      <c r="H437" s="136"/>
      <c r="I437" s="136"/>
      <c r="J437" s="129" t="str">
        <f t="shared" si="1365"/>
        <v/>
      </c>
      <c r="K437" s="129"/>
      <c r="L437" s="132">
        <f t="shared" si="1412"/>
        <v>0</v>
      </c>
      <c r="M437" s="132">
        <f t="shared" si="1511"/>
        <v>0</v>
      </c>
      <c r="N437" s="130"/>
      <c r="O437" s="136"/>
      <c r="P437" s="136">
        <f t="shared" si="1514"/>
        <v>0</v>
      </c>
      <c r="Q437" s="136">
        <f t="shared" si="1525"/>
        <v>0</v>
      </c>
      <c r="R437" s="136">
        <f t="shared" si="1512"/>
        <v>0</v>
      </c>
      <c r="S437" s="136">
        <f t="shared" si="1376"/>
        <v>0</v>
      </c>
      <c r="T437" s="136">
        <f t="shared" si="1494"/>
        <v>0</v>
      </c>
      <c r="U437" s="136">
        <f t="shared" si="1494"/>
        <v>0</v>
      </c>
      <c r="V437" s="136">
        <f t="shared" si="1513"/>
        <v>0</v>
      </c>
      <c r="W437" s="136">
        <f t="shared" si="1526"/>
        <v>0</v>
      </c>
      <c r="X437" s="130">
        <f t="shared" si="1516"/>
        <v>0</v>
      </c>
      <c r="Y437" s="129"/>
      <c r="Z437" s="136"/>
      <c r="AA437" s="136"/>
      <c r="AB437" s="136"/>
      <c r="AC437" s="129"/>
      <c r="AD437" s="136"/>
      <c r="AE437" s="136"/>
      <c r="AF437" s="136"/>
      <c r="AG437" s="129"/>
      <c r="AH437" s="136"/>
      <c r="AI437" s="136"/>
      <c r="AJ437" s="136"/>
      <c r="AK437" s="129"/>
      <c r="AL437" s="136"/>
      <c r="AM437" s="136"/>
      <c r="AN437" s="136"/>
      <c r="AO437" s="165"/>
    </row>
    <row r="438" spans="1:41" s="1" customFormat="1" ht="13.2" hidden="1" customHeight="1" x14ac:dyDescent="0.25">
      <c r="A438" s="131"/>
      <c r="B438" s="134"/>
      <c r="C438" s="134"/>
      <c r="D438" s="134"/>
      <c r="E438" s="134"/>
      <c r="F438" s="134"/>
      <c r="G438" s="136"/>
      <c r="H438" s="136"/>
      <c r="I438" s="136"/>
      <c r="J438" s="129" t="str">
        <f t="shared" si="1365"/>
        <v/>
      </c>
      <c r="K438" s="129"/>
      <c r="L438" s="132">
        <f t="shared" si="1412"/>
        <v>0</v>
      </c>
      <c r="M438" s="132">
        <f t="shared" si="1511"/>
        <v>0</v>
      </c>
      <c r="N438" s="130"/>
      <c r="O438" s="136"/>
      <c r="P438" s="136">
        <f t="shared" si="1514"/>
        <v>0</v>
      </c>
      <c r="Q438" s="136">
        <f t="shared" si="1525"/>
        <v>0</v>
      </c>
      <c r="R438" s="136">
        <f t="shared" si="1512"/>
        <v>0</v>
      </c>
      <c r="S438" s="136">
        <f t="shared" si="1376"/>
        <v>0</v>
      </c>
      <c r="T438" s="136">
        <f t="shared" si="1494"/>
        <v>0</v>
      </c>
      <c r="U438" s="136">
        <f t="shared" si="1494"/>
        <v>0</v>
      </c>
      <c r="V438" s="136">
        <f t="shared" si="1513"/>
        <v>0</v>
      </c>
      <c r="W438" s="136">
        <f t="shared" si="1526"/>
        <v>0</v>
      </c>
      <c r="X438" s="130">
        <f t="shared" si="1516"/>
        <v>0</v>
      </c>
      <c r="Y438" s="129"/>
      <c r="Z438" s="136"/>
      <c r="AA438" s="136"/>
      <c r="AB438" s="136"/>
      <c r="AC438" s="129"/>
      <c r="AD438" s="136"/>
      <c r="AE438" s="136"/>
      <c r="AF438" s="136"/>
      <c r="AG438" s="129"/>
      <c r="AH438" s="136"/>
      <c r="AI438" s="136"/>
      <c r="AJ438" s="136"/>
      <c r="AK438" s="129"/>
      <c r="AL438" s="136"/>
      <c r="AM438" s="136"/>
      <c r="AN438" s="136"/>
      <c r="AO438" s="165"/>
    </row>
    <row r="439" spans="1:41" x14ac:dyDescent="0.25">
      <c r="A439" s="131"/>
      <c r="B439" s="63"/>
      <c r="C439" s="63"/>
      <c r="D439" s="63"/>
      <c r="E439" s="63"/>
      <c r="F439" s="63"/>
      <c r="G439" s="65"/>
      <c r="H439" s="65"/>
      <c r="I439" s="65"/>
      <c r="J439" s="129" t="str">
        <f>IF(J440="*","*","")</f>
        <v>*</v>
      </c>
      <c r="L439" s="132">
        <f t="shared" si="1412"/>
        <v>0</v>
      </c>
      <c r="M439" s="132">
        <f t="shared" si="1511"/>
        <v>0</v>
      </c>
      <c r="N439" s="130"/>
      <c r="O439" s="136"/>
      <c r="P439" s="136">
        <f>IF(B439=432,G439,0)</f>
        <v>0</v>
      </c>
      <c r="Q439" s="136">
        <f t="shared" si="1525"/>
        <v>0</v>
      </c>
      <c r="R439" s="136">
        <f t="shared" si="1512"/>
        <v>0</v>
      </c>
      <c r="S439" s="136">
        <f t="shared" si="1376"/>
        <v>0</v>
      </c>
      <c r="T439" s="136">
        <f t="shared" si="1494"/>
        <v>0</v>
      </c>
      <c r="U439" s="136">
        <f t="shared" si="1494"/>
        <v>0</v>
      </c>
      <c r="V439" s="136">
        <f t="shared" si="1513"/>
        <v>0</v>
      </c>
      <c r="W439" s="136">
        <f t="shared" si="1526"/>
        <v>0</v>
      </c>
      <c r="X439" s="130">
        <f t="shared" si="1516"/>
        <v>0</v>
      </c>
      <c r="Z439" s="65"/>
      <c r="AA439" s="65"/>
      <c r="AB439" s="65"/>
      <c r="AD439" s="65"/>
      <c r="AE439" s="65"/>
      <c r="AF439" s="65"/>
      <c r="AH439" s="65"/>
      <c r="AI439" s="65"/>
      <c r="AJ439" s="65"/>
      <c r="AL439" s="65"/>
      <c r="AM439" s="65"/>
      <c r="AN439" s="65"/>
      <c r="AO439" s="165"/>
    </row>
    <row r="440" spans="1:41" x14ac:dyDescent="0.25">
      <c r="A440" s="131"/>
      <c r="B440" s="63"/>
      <c r="C440" s="63"/>
      <c r="D440" s="63"/>
      <c r="E440" s="63"/>
      <c r="F440" s="85" t="s">
        <v>93</v>
      </c>
      <c r="G440" s="86">
        <f>SUM(G420:G439)</f>
        <v>42269.334500000012</v>
      </c>
      <c r="H440" s="86">
        <f>SUM(H420:H439)</f>
        <v>42269.334500000012</v>
      </c>
      <c r="I440" s="86">
        <f>SUM(I420:I439)</f>
        <v>0</v>
      </c>
      <c r="J440" s="129" t="str">
        <f>IF(G440&gt;0.49,"*","")</f>
        <v>*</v>
      </c>
      <c r="L440" s="133">
        <f>SUM(L419:L439)</f>
        <v>41764.688000000009</v>
      </c>
      <c r="M440" s="133">
        <f>SUM(M419:M439)</f>
        <v>504.64650000000012</v>
      </c>
      <c r="N440" s="130"/>
      <c r="O440" s="133"/>
      <c r="P440" s="133">
        <f t="shared" ref="P440:X440" si="1539">SUM(P420:P439)</f>
        <v>0</v>
      </c>
      <c r="Q440" s="133">
        <f t="shared" si="1539"/>
        <v>0</v>
      </c>
      <c r="R440" s="133">
        <f t="shared" si="1539"/>
        <v>0</v>
      </c>
      <c r="S440" s="133">
        <f t="shared" ref="S440:U440" si="1540">SUM(S420:S439)</f>
        <v>0</v>
      </c>
      <c r="T440" s="133">
        <f t="shared" si="1540"/>
        <v>0</v>
      </c>
      <c r="U440" s="133">
        <f t="shared" si="1540"/>
        <v>0</v>
      </c>
      <c r="V440" s="133">
        <f t="shared" si="1539"/>
        <v>0</v>
      </c>
      <c r="W440" s="133">
        <f t="shared" si="1539"/>
        <v>0</v>
      </c>
      <c r="X440" s="133">
        <f t="shared" si="1539"/>
        <v>0</v>
      </c>
      <c r="Z440" s="86" t="e">
        <f>SUM(Z420:Z439)</f>
        <v>#DIV/0!</v>
      </c>
      <c r="AA440" s="86">
        <f>SUM(AA420:AA439)</f>
        <v>45481.623604999993</v>
      </c>
      <c r="AB440" s="86" t="e">
        <f>SUM(AB420:AB439)</f>
        <v>#DIV/0!</v>
      </c>
      <c r="AD440" s="86" t="e">
        <f>SUM(AD420:AD439)</f>
        <v>#DIV/0!</v>
      </c>
      <c r="AE440" s="86">
        <f>SUM(AE420:AE439)</f>
        <v>45936.43984105</v>
      </c>
      <c r="AF440" s="86" t="e">
        <f>SUM(AF420:AF439)</f>
        <v>#DIV/0!</v>
      </c>
      <c r="AH440" s="86" t="e">
        <f>SUM(AH420:AH439)</f>
        <v>#DIV/0!</v>
      </c>
      <c r="AI440" s="86">
        <f>SUM(AI420:AI439)</f>
        <v>49924.717042988494</v>
      </c>
      <c r="AJ440" s="86" t="e">
        <f>SUM(AJ420:AJ439)</f>
        <v>#DIV/0!</v>
      </c>
      <c r="AL440" s="86" t="e">
        <f>SUM(AL420:AL439)</f>
        <v>#DIV/0!</v>
      </c>
      <c r="AM440" s="86">
        <f>SUM(AM420:AM439)</f>
        <v>50423.964213418389</v>
      </c>
      <c r="AN440" s="86" t="e">
        <f>SUM(AN420:AN439)</f>
        <v>#DIV/0!</v>
      </c>
      <c r="AO440" s="165"/>
    </row>
    <row r="441" spans="1:41" x14ac:dyDescent="0.25">
      <c r="A441" s="131"/>
      <c r="B441" s="63"/>
      <c r="C441" s="63"/>
      <c r="D441" s="63"/>
      <c r="E441" s="63"/>
      <c r="F441" s="63"/>
      <c r="G441" s="65"/>
      <c r="H441" s="65"/>
      <c r="I441" s="65"/>
      <c r="J441" s="129" t="str">
        <f>IF(J440="*","*","")</f>
        <v>*</v>
      </c>
      <c r="L441" s="132">
        <f t="shared" si="1412"/>
        <v>0</v>
      </c>
      <c r="M441" s="132">
        <f t="shared" ref="M441:M447" si="1541">IF(E441&gt;299,G441,0)</f>
        <v>0</v>
      </c>
      <c r="N441" s="130"/>
      <c r="O441" s="136"/>
      <c r="P441" s="136">
        <f>IF(B441=432,G441,0)</f>
        <v>0</v>
      </c>
      <c r="Q441" s="136">
        <f t="shared" ref="Q441:Q450" si="1542">IF(B441=410,H441,0)</f>
        <v>0</v>
      </c>
      <c r="R441" s="136">
        <f t="shared" ref="R441:R450" si="1543">IF(B441=432,H441,0)</f>
        <v>0</v>
      </c>
      <c r="S441" s="136">
        <f t="shared" si="1376"/>
        <v>0</v>
      </c>
      <c r="T441" s="136">
        <f t="shared" si="1494"/>
        <v>0</v>
      </c>
      <c r="U441" s="136">
        <f t="shared" si="1494"/>
        <v>0</v>
      </c>
      <c r="V441" s="136">
        <f t="shared" ref="V441:V450" si="1544">IF(B441=360,I441,0)</f>
        <v>0</v>
      </c>
      <c r="W441" s="136">
        <f t="shared" ref="W441:W450" si="1545">IF(B441=410,I441,0)</f>
        <v>0</v>
      </c>
      <c r="X441" s="130">
        <f t="shared" si="1516"/>
        <v>0</v>
      </c>
      <c r="Z441" s="65"/>
      <c r="AA441" s="65"/>
      <c r="AB441" s="65"/>
      <c r="AD441" s="65"/>
      <c r="AE441" s="65"/>
      <c r="AF441" s="65"/>
      <c r="AH441" s="65"/>
      <c r="AI441" s="65"/>
      <c r="AJ441" s="65"/>
      <c r="AL441" s="65"/>
      <c r="AM441" s="65"/>
      <c r="AN441" s="65"/>
      <c r="AO441" s="165"/>
    </row>
    <row r="442" spans="1:41" s="110" customFormat="1" x14ac:dyDescent="0.25">
      <c r="A442" s="100"/>
      <c r="B442" s="34">
        <f>'Expense Input'!B140</f>
        <v>100</v>
      </c>
      <c r="C442" s="34">
        <f>'Expense Input'!C140</f>
        <v>4000</v>
      </c>
      <c r="D442" s="34">
        <f>'Expense Input'!D140</f>
        <v>9200</v>
      </c>
      <c r="E442" s="34">
        <f>'Expense Input'!E140</f>
        <v>710</v>
      </c>
      <c r="F442" s="34" t="str">
        <f>'Expense Input'!F140</f>
        <v>Debt Services - Principal</v>
      </c>
      <c r="G442" s="154">
        <f>'Expense Input'!Q140</f>
        <v>70836.540000000008</v>
      </c>
      <c r="H442" s="154">
        <f>'Expense Input'!R140</f>
        <v>36951.972000000009</v>
      </c>
      <c r="I442" s="154">
        <f>'Expense Input'!S140</f>
        <v>33884.567999999999</v>
      </c>
      <c r="J442" s="110" t="str">
        <f t="shared" si="1365"/>
        <v>*</v>
      </c>
      <c r="L442" s="103">
        <f t="shared" si="1412"/>
        <v>0</v>
      </c>
      <c r="M442" s="103">
        <f t="shared" si="1541"/>
        <v>70836.540000000008</v>
      </c>
      <c r="N442" s="215"/>
      <c r="O442" s="154"/>
      <c r="P442" s="154">
        <f>IF(B442=490,G442,0)</f>
        <v>0</v>
      </c>
      <c r="Q442" s="154">
        <f t="shared" si="1542"/>
        <v>0</v>
      </c>
      <c r="R442" s="154">
        <f t="shared" si="1543"/>
        <v>0</v>
      </c>
      <c r="S442" s="154">
        <f t="shared" si="1376"/>
        <v>0</v>
      </c>
      <c r="T442" s="136">
        <f t="shared" si="1494"/>
        <v>0</v>
      </c>
      <c r="U442" s="136">
        <f t="shared" si="1494"/>
        <v>0</v>
      </c>
      <c r="V442" s="154">
        <f t="shared" si="1544"/>
        <v>0</v>
      </c>
      <c r="W442" s="154">
        <f t="shared" si="1545"/>
        <v>0</v>
      </c>
      <c r="X442" s="215">
        <f t="shared" si="1516"/>
        <v>0</v>
      </c>
      <c r="Z442" s="154">
        <f>AA442+AB442</f>
        <v>165386.39686239295</v>
      </c>
      <c r="AA442" s="154">
        <f>((2825.74+2837.51+2849.33+2861.21+2873.13+2885.1+2897.12+2909.19+2921.31+2933.49+2945.71+2957.98)/2)+((10524.18+11107.39+10622.34+11202.82+10721.39+10770.04+11346.4+10870.41+11443.97+10971.67+11542.41+12112.36)/2)-AA443</f>
        <v>83966.1</v>
      </c>
      <c r="AB442" s="154">
        <f>((2825.74+2837.51+2849.33+2861.21+2873.13+2885.1+2897.12+2909.19+2921.31+2933.49+2945.71+2957.98)/2)+((10524.18+11107.39+10622.34+11202.82+10721.39+10770.04+11346.4+10870.41+11443.97+10971.67+11542.41+12112.36)/2)-AB443</f>
        <v>81420.296862392934</v>
      </c>
      <c r="AC442" s="154"/>
      <c r="AD442" s="154">
        <f>AE442+AF442</f>
        <v>165386.39686239295</v>
      </c>
      <c r="AE442" s="154">
        <f>((2825.74+2837.51+2849.33+2861.21+2873.13+2885.1+2897.12+2909.19+2921.31+2933.49+2945.71+2957.98)/2)+((10524.18+11107.39+10622.34+11202.82+10721.39+10770.04+11346.4+10870.41+11443.97+10971.67+11542.41+12112.36)/2)-AE443</f>
        <v>83966.1</v>
      </c>
      <c r="AF442" s="154">
        <f>((2825.74+2837.51+2849.33+2861.21+2873.13+2885.1+2897.12+2909.19+2921.31+2933.49+2945.71+2957.98)/2)+((10524.18+11107.39+10622.34+11202.82+10721.39+10770.04+11346.4+10870.41+11443.97+10971.67+11542.41+12112.36)/2)-AF443</f>
        <v>81420.296862392934</v>
      </c>
      <c r="AG442" s="154"/>
      <c r="AH442" s="154">
        <f>AI442+AJ442</f>
        <v>165190.56585180777</v>
      </c>
      <c r="AI442" s="154">
        <f>((2825.74+2837.51+2849.33+2861.21+2873.13+2885.1+2897.12+2909.19+2921.31+2933.49+2945.71+2957.98)/2)+((10524.18+11107.39+10622.34+11202.82+10721.39+10770.04+11346.4+10870.41+11443.97+10971.67+11542.41+12112.36)/2)-AI443</f>
        <v>83966.1</v>
      </c>
      <c r="AJ442" s="154">
        <f>((2825.74+2837.51+2849.33+2861.21+2873.13+2885.1+2897.12+2909.19+2921.31+2933.49+2945.71+2957.98)/2)+((10524.18+11107.39+10622.34+11202.82+10721.39+10770.04+11346.4+10870.41+11443.97+10971.67+11542.41+12112.36)/2)-AJ443</f>
        <v>81224.465851807778</v>
      </c>
      <c r="AK442" s="154"/>
      <c r="AL442" s="154">
        <f>AM442+AN442</f>
        <v>165190.56585180777</v>
      </c>
      <c r="AM442" s="154">
        <f>((2825.74+2837.51+2849.33+2861.21+2873.13+2885.1+2897.12+2909.19+2921.31+2933.49+2945.71+2957.98)/2)+((10524.18+11107.39+10622.34+11202.82+10721.39+10770.04+11346.4+10870.41+11443.97+10971.67+11542.41+12112.36)/2)-AM443</f>
        <v>83966.1</v>
      </c>
      <c r="AN442" s="154">
        <f>((2825.74+2837.51+2849.33+2861.21+2873.13+2885.1+2897.12+2909.19+2921.31+2933.49+2945.71+2957.98)/2)+((10524.18+11107.39+10622.34+11202.82+10721.39+10770.04+11346.4+10870.41+11443.97+10971.67+11542.41+12112.36)/2)-AN443</f>
        <v>81224.465851807778</v>
      </c>
      <c r="AO442" s="165" t="s">
        <v>94</v>
      </c>
    </row>
    <row r="443" spans="1:41" s="110" customFormat="1" x14ac:dyDescent="0.25">
      <c r="A443" s="100"/>
      <c r="B443" s="34">
        <f>'Expense Input'!B141</f>
        <v>360</v>
      </c>
      <c r="C443" s="34">
        <f>'Expense Input'!C141</f>
        <v>4000</v>
      </c>
      <c r="D443" s="34">
        <f>'Expense Input'!D141</f>
        <v>9200</v>
      </c>
      <c r="E443" s="34">
        <f>'Expense Input'!E141</f>
        <v>710</v>
      </c>
      <c r="F443" s="34" t="str">
        <f>'Expense Input'!F141</f>
        <v>Debt Service - Principal</v>
      </c>
      <c r="G443" s="154">
        <f>'Expense Input'!Q141</f>
        <v>125212.5</v>
      </c>
      <c r="H443" s="154">
        <f>'Expense Input'!R141</f>
        <v>70875</v>
      </c>
      <c r="I443" s="154">
        <f>'Expense Input'!S141</f>
        <v>54337.5</v>
      </c>
      <c r="J443" s="110" t="str">
        <f t="shared" ref="J443" si="1546">IF(G443&gt;0.49,"*","")</f>
        <v>*</v>
      </c>
      <c r="L443" s="103">
        <f t="shared" ref="L443" si="1547">IF(E443&lt;300,G443,0)</f>
        <v>0</v>
      </c>
      <c r="M443" s="103">
        <f t="shared" si="1541"/>
        <v>125212.5</v>
      </c>
      <c r="N443" s="215"/>
      <c r="O443" s="154"/>
      <c r="P443" s="154">
        <f>IF(B443=490,G443,0)</f>
        <v>0</v>
      </c>
      <c r="Q443" s="154">
        <f t="shared" si="1542"/>
        <v>0</v>
      </c>
      <c r="R443" s="154">
        <f t="shared" si="1543"/>
        <v>0</v>
      </c>
      <c r="S443" s="154">
        <f t="shared" si="1376"/>
        <v>0</v>
      </c>
      <c r="T443" s="136">
        <f t="shared" si="1494"/>
        <v>0</v>
      </c>
      <c r="U443" s="136">
        <f t="shared" si="1494"/>
        <v>0</v>
      </c>
      <c r="V443" s="154">
        <f t="shared" si="1544"/>
        <v>54337.5</v>
      </c>
      <c r="W443" s="154">
        <f t="shared" si="1545"/>
        <v>0</v>
      </c>
      <c r="X443" s="215">
        <f t="shared" ref="X443" si="1548">+W443+Q443-O443</f>
        <v>0</v>
      </c>
      <c r="Z443" s="154">
        <f t="shared" ref="Z443:Z445" si="1549">AA443+AB443</f>
        <v>2545.8031376070703</v>
      </c>
      <c r="AA443" s="154">
        <f>AA$52*25%</f>
        <v>0</v>
      </c>
      <c r="AB443" s="154">
        <f>AB$52*25%</f>
        <v>2545.8031376070703</v>
      </c>
      <c r="AC443" s="154"/>
      <c r="AD443" s="154">
        <f t="shared" ref="AD443:AD445" si="1550">AE443+AF443</f>
        <v>2545.8031376070703</v>
      </c>
      <c r="AE443" s="154">
        <f>AE$52*25%</f>
        <v>0</v>
      </c>
      <c r="AF443" s="154">
        <f>AF$52*25%</f>
        <v>2545.8031376070703</v>
      </c>
      <c r="AG443" s="154"/>
      <c r="AH443" s="154">
        <f t="shared" ref="AH443:AH445" si="1551">AI443+AJ443</f>
        <v>2741.6341481922295</v>
      </c>
      <c r="AI443" s="154">
        <f>AI$52*25%</f>
        <v>0</v>
      </c>
      <c r="AJ443" s="154">
        <f>AJ$52*25%</f>
        <v>2741.6341481922295</v>
      </c>
      <c r="AK443" s="154"/>
      <c r="AL443" s="154">
        <f t="shared" ref="AL443:AL445" si="1552">AM443+AN443</f>
        <v>2741.6341481922295</v>
      </c>
      <c r="AM443" s="154">
        <f>AM$52*25%</f>
        <v>0</v>
      </c>
      <c r="AN443" s="154">
        <f>AN$52*25%</f>
        <v>2741.6341481922295</v>
      </c>
      <c r="AO443" s="165" t="s">
        <v>95</v>
      </c>
    </row>
    <row r="444" spans="1:41" s="110" customFormat="1" ht="13.2" customHeight="1" x14ac:dyDescent="0.25">
      <c r="A444" s="100"/>
      <c r="B444" s="34">
        <f>'Expense Input'!B142</f>
        <v>100</v>
      </c>
      <c r="C444" s="34">
        <f>'Expense Input'!C142</f>
        <v>4000</v>
      </c>
      <c r="D444" s="34">
        <f>'Expense Input'!D142</f>
        <v>9200</v>
      </c>
      <c r="E444" s="34">
        <f>'Expense Input'!E142</f>
        <v>720</v>
      </c>
      <c r="F444" s="34" t="str">
        <f>'Expense Input'!F142</f>
        <v>Debt Services - Interest</v>
      </c>
      <c r="G444" s="154">
        <f>'Expense Input'!Q142</f>
        <v>83932.500000000015</v>
      </c>
      <c r="H444" s="154">
        <f>'Expense Input'!R142</f>
        <v>43708.500000000015</v>
      </c>
      <c r="I444" s="154">
        <f>'Expense Input'!S142</f>
        <v>40224</v>
      </c>
      <c r="J444" s="110" t="str">
        <f t="shared" si="1365"/>
        <v>*</v>
      </c>
      <c r="L444" s="103">
        <f t="shared" si="1412"/>
        <v>0</v>
      </c>
      <c r="M444" s="103">
        <f t="shared" si="1541"/>
        <v>83932.500000000015</v>
      </c>
      <c r="N444" s="215"/>
      <c r="O444" s="154"/>
      <c r="P444" s="154">
        <f>IF(B444=490,G444,0)</f>
        <v>0</v>
      </c>
      <c r="Q444" s="154">
        <f t="shared" si="1542"/>
        <v>0</v>
      </c>
      <c r="R444" s="154">
        <f t="shared" si="1543"/>
        <v>0</v>
      </c>
      <c r="S444" s="154">
        <f t="shared" si="1376"/>
        <v>0</v>
      </c>
      <c r="T444" s="136">
        <f t="shared" si="1494"/>
        <v>0</v>
      </c>
      <c r="U444" s="136">
        <f t="shared" si="1494"/>
        <v>0</v>
      </c>
      <c r="V444" s="154">
        <f t="shared" si="1544"/>
        <v>0</v>
      </c>
      <c r="W444" s="154">
        <f t="shared" si="1545"/>
        <v>0</v>
      </c>
      <c r="X444" s="215">
        <f t="shared" si="1516"/>
        <v>0</v>
      </c>
      <c r="Z444" s="154">
        <f t="shared" si="1549"/>
        <v>237477.11058717879</v>
      </c>
      <c r="AA444" s="154">
        <f>((3773.82+3762.05+3750.23+3738.35+3726.43+3714.46+3702.44+3690.37+3678.25+3666.07+3653.85+3641.58)/2)+((650.16*12)/2)+((16646.66+16063.45+16548.5+15968.02+16449.45+16400.8+15824.44+16300.43+15726.87+16199.17+15628.43+15058.48)/2)-AA445</f>
        <v>122557.26000000001</v>
      </c>
      <c r="AB444" s="154">
        <f>((3773.82+3762.05+3750.23+3738.35+3726.43+3714.46+3702.44+3690.37+3678.25+3666.07+3653.85+3641.58)/2)+((650.16*12)/2)+((16646.66+16063.45+16548.5+15968.02+16449.45+16400.8+15824.44+16300.43+15726.87+16199.17+15628.43+15058.48)/2)-AB445</f>
        <v>114919.85058717879</v>
      </c>
      <c r="AC444" s="154"/>
      <c r="AD444" s="154">
        <f t="shared" si="1550"/>
        <v>237477.11058717879</v>
      </c>
      <c r="AE444" s="154">
        <f>((3773.82+3762.05+3750.23+3738.35+3726.43+3714.46+3702.44+3690.37+3678.25+3666.07+3653.85+3641.58)/2)+((650.16*12)/2)+((16646.66+16063.45+16548.5+15968.02+16449.45+16400.8+15824.44+16300.43+15726.87+16199.17+15628.43+15058.48)/2)-AE445</f>
        <v>122557.26000000001</v>
      </c>
      <c r="AF444" s="154">
        <f>((3773.82+3762.05+3750.23+3738.35+3726.43+3714.46+3702.44+3690.37+3678.25+3666.07+3653.85+3641.58)/2)+((650.16*12)/2)+((16646.66+16063.45+16548.5+15968.02+16449.45+16400.8+15824.44+16300.43+15726.87+16199.17+15628.43+15058.48)/2)-AF445</f>
        <v>114919.85058717879</v>
      </c>
      <c r="AG444" s="154"/>
      <c r="AH444" s="154">
        <f t="shared" si="1551"/>
        <v>236889.61755542335</v>
      </c>
      <c r="AI444" s="154">
        <f>((3773.82+3762.05+3750.23+3738.35+3726.43+3714.46+3702.44+3690.37+3678.25+3666.07+3653.85+3641.58)/2)+((650.16*12)/2)+((16646.66+16063.45+16548.5+15968.02+16449.45+16400.8+15824.44+16300.43+15726.87+16199.17+15628.43+15058.48)/2)-AI445</f>
        <v>122557.26000000001</v>
      </c>
      <c r="AJ444" s="154">
        <f>((3773.82+3762.05+3750.23+3738.35+3726.43+3714.46+3702.44+3690.37+3678.25+3666.07+3653.85+3641.58)/2)+((650.16*12)/2)+((16646.66+16063.45+16548.5+15968.02+16449.45+16400.8+15824.44+16300.43+15726.87+16199.17+15628.43+15058.48)/2)-AJ445</f>
        <v>114332.35755542332</v>
      </c>
      <c r="AK444" s="154"/>
      <c r="AL444" s="154">
        <f t="shared" si="1552"/>
        <v>236889.61755542335</v>
      </c>
      <c r="AM444" s="154">
        <f>((3773.82+3762.05+3750.23+3738.35+3726.43+3714.46+3702.44+3690.37+3678.25+3666.07+3653.85+3641.58)/2)+((650.16*12)/2)+((16646.66+16063.45+16548.5+15968.02+16449.45+16400.8+15824.44+16300.43+15726.87+16199.17+15628.43+15058.48)/2)-AM445</f>
        <v>122557.26000000001</v>
      </c>
      <c r="AN444" s="154">
        <f>((3773.82+3762.05+3750.23+3738.35+3726.43+3714.46+3702.44+3690.37+3678.25+3666.07+3653.85+3641.58)/2)+((650.16*12)/2)+((16646.66+16063.45+16548.5+15968.02+16449.45+16400.8+15824.44+16300.43+15726.87+16199.17+15628.43+15058.48)/2)-AN445</f>
        <v>114332.35755542332</v>
      </c>
      <c r="AO444" s="165" t="s">
        <v>94</v>
      </c>
    </row>
    <row r="445" spans="1:41" s="110" customFormat="1" ht="13.2" customHeight="1" x14ac:dyDescent="0.25">
      <c r="A445" s="100"/>
      <c r="B445" s="34">
        <f>'Expense Input'!B143</f>
        <v>360</v>
      </c>
      <c r="C445" s="34">
        <f>'Expense Input'!C143</f>
        <v>4000</v>
      </c>
      <c r="D445" s="34">
        <f>'Expense Input'!D143</f>
        <v>9200</v>
      </c>
      <c r="E445" s="34">
        <f>'Expense Input'!E143</f>
        <v>720</v>
      </c>
      <c r="F445" s="34" t="str">
        <f>'Expense Input'!F143</f>
        <v>Debt Service - Interest</v>
      </c>
      <c r="G445" s="154">
        <f>'Expense Input'!Q143</f>
        <v>153037.5</v>
      </c>
      <c r="H445" s="154">
        <f>'Expense Input'!R143</f>
        <v>86625</v>
      </c>
      <c r="I445" s="154">
        <f>'Expense Input'!S143</f>
        <v>66412.5</v>
      </c>
      <c r="J445" s="110" t="str">
        <f t="shared" ref="J445" si="1553">IF(G445&gt;0.49,"*","")</f>
        <v>*</v>
      </c>
      <c r="L445" s="103">
        <f t="shared" ref="L445" si="1554">IF(E445&lt;300,G445,0)</f>
        <v>0</v>
      </c>
      <c r="M445" s="103">
        <f t="shared" si="1541"/>
        <v>153037.5</v>
      </c>
      <c r="N445" s="215"/>
      <c r="O445" s="154"/>
      <c r="P445" s="154">
        <f>IF(B445=490,G445,0)</f>
        <v>0</v>
      </c>
      <c r="Q445" s="154">
        <f t="shared" ref="Q445" si="1555">IF(B445=410,H445,0)</f>
        <v>0</v>
      </c>
      <c r="R445" s="154">
        <f t="shared" si="1543"/>
        <v>0</v>
      </c>
      <c r="S445" s="154">
        <f t="shared" si="1376"/>
        <v>0</v>
      </c>
      <c r="T445" s="136">
        <f t="shared" si="1494"/>
        <v>0</v>
      </c>
      <c r="U445" s="136">
        <f t="shared" si="1494"/>
        <v>0</v>
      </c>
      <c r="V445" s="154">
        <f t="shared" si="1544"/>
        <v>66412.5</v>
      </c>
      <c r="W445" s="154">
        <f t="shared" ref="W445" si="1556">IF(B445=410,I445,0)</f>
        <v>0</v>
      </c>
      <c r="X445" s="215">
        <f t="shared" ref="X445" si="1557">+W445+Q445-O445</f>
        <v>0</v>
      </c>
      <c r="Z445" s="154">
        <f t="shared" si="1549"/>
        <v>7637.4094128212109</v>
      </c>
      <c r="AA445" s="154">
        <f>AA$52*75%</f>
        <v>0</v>
      </c>
      <c r="AB445" s="154">
        <f>AB$52*75%</f>
        <v>7637.4094128212109</v>
      </c>
      <c r="AC445" s="154"/>
      <c r="AD445" s="154">
        <f t="shared" si="1550"/>
        <v>7637.4094128212109</v>
      </c>
      <c r="AE445" s="154">
        <f>AE$52*75%</f>
        <v>0</v>
      </c>
      <c r="AF445" s="154">
        <f>AF$52*75%</f>
        <v>7637.4094128212109</v>
      </c>
      <c r="AG445" s="154"/>
      <c r="AH445" s="154">
        <f t="shared" si="1551"/>
        <v>8224.9024445766881</v>
      </c>
      <c r="AI445" s="154">
        <f>AI$52*75%</f>
        <v>0</v>
      </c>
      <c r="AJ445" s="154">
        <f>AJ$52*75%</f>
        <v>8224.9024445766881</v>
      </c>
      <c r="AK445" s="154"/>
      <c r="AL445" s="154">
        <f t="shared" si="1552"/>
        <v>8224.9024445766881</v>
      </c>
      <c r="AM445" s="154">
        <f>AM$52*75%</f>
        <v>0</v>
      </c>
      <c r="AN445" s="154">
        <f>AN$52*75%</f>
        <v>8224.9024445766881</v>
      </c>
      <c r="AO445" s="165" t="s">
        <v>95</v>
      </c>
    </row>
    <row r="446" spans="1:41" s="129" customFormat="1" ht="13.2" hidden="1" customHeight="1" x14ac:dyDescent="0.25">
      <c r="A446" s="131"/>
      <c r="B446" s="134"/>
      <c r="C446" s="134"/>
      <c r="D446" s="134"/>
      <c r="E446" s="134"/>
      <c r="F446" s="134"/>
      <c r="G446" s="136"/>
      <c r="H446" s="136"/>
      <c r="I446" s="136"/>
      <c r="J446" s="129" t="str">
        <f t="shared" ref="J446" si="1558">IF(G446&gt;0.49,"*","")</f>
        <v/>
      </c>
      <c r="L446" s="132">
        <f t="shared" ref="L446" si="1559">IF(E446&lt;300,G446,0)</f>
        <v>0</v>
      </c>
      <c r="M446" s="132">
        <f t="shared" si="1541"/>
        <v>0</v>
      </c>
      <c r="N446" s="130"/>
      <c r="O446" s="136"/>
      <c r="P446" s="136">
        <f>IF(B446=490,G446,0)</f>
        <v>0</v>
      </c>
      <c r="Q446" s="136">
        <f t="shared" ref="Q446" si="1560">IF(B446=410,H446,0)</f>
        <v>0</v>
      </c>
      <c r="R446" s="136">
        <f t="shared" si="1543"/>
        <v>0</v>
      </c>
      <c r="S446" s="136">
        <f t="shared" si="1376"/>
        <v>0</v>
      </c>
      <c r="T446" s="136">
        <f t="shared" si="1494"/>
        <v>0</v>
      </c>
      <c r="U446" s="136">
        <f t="shared" si="1494"/>
        <v>0</v>
      </c>
      <c r="V446" s="136">
        <f t="shared" si="1544"/>
        <v>0</v>
      </c>
      <c r="W446" s="136">
        <f t="shared" ref="W446" si="1561">IF(B446=410,I446,0)</f>
        <v>0</v>
      </c>
      <c r="X446" s="130">
        <f t="shared" ref="X446" si="1562">+W446+Q446-O446</f>
        <v>0</v>
      </c>
      <c r="Z446" s="136"/>
      <c r="AA446" s="136"/>
      <c r="AB446" s="136"/>
      <c r="AD446" s="136"/>
      <c r="AE446" s="136"/>
      <c r="AF446" s="136"/>
      <c r="AH446" s="136"/>
      <c r="AI446" s="136"/>
      <c r="AJ446" s="136"/>
      <c r="AL446" s="136"/>
      <c r="AM446" s="136"/>
      <c r="AN446" s="136"/>
      <c r="AO446" s="165"/>
    </row>
    <row r="447" spans="1:41" s="1" customFormat="1" x14ac:dyDescent="0.25">
      <c r="A447" s="131"/>
      <c r="B447" s="134"/>
      <c r="C447" s="134"/>
      <c r="D447" s="134"/>
      <c r="E447" s="134"/>
      <c r="F447" s="134"/>
      <c r="G447" s="13"/>
      <c r="H447" s="13"/>
      <c r="I447" s="13"/>
      <c r="J447" s="129" t="str">
        <f>IF(J448="*","*","")</f>
        <v>*</v>
      </c>
      <c r="K447" s="129"/>
      <c r="L447" s="132">
        <f t="shared" si="1412"/>
        <v>0</v>
      </c>
      <c r="M447" s="132">
        <f t="shared" si="1541"/>
        <v>0</v>
      </c>
      <c r="N447" s="130"/>
      <c r="O447" s="136"/>
      <c r="P447" s="136">
        <f t="shared" ref="P447:P450" si="1563">IF(B447=432,G447,0)</f>
        <v>0</v>
      </c>
      <c r="Q447" s="136">
        <f t="shared" si="1542"/>
        <v>0</v>
      </c>
      <c r="R447" s="136">
        <f t="shared" si="1543"/>
        <v>0</v>
      </c>
      <c r="S447" s="136">
        <f t="shared" si="1376"/>
        <v>0</v>
      </c>
      <c r="T447" s="136">
        <f t="shared" si="1494"/>
        <v>0</v>
      </c>
      <c r="U447" s="136">
        <f t="shared" si="1494"/>
        <v>0</v>
      </c>
      <c r="V447" s="136">
        <f t="shared" si="1544"/>
        <v>0</v>
      </c>
      <c r="W447" s="136">
        <f t="shared" si="1545"/>
        <v>0</v>
      </c>
      <c r="X447" s="130">
        <f t="shared" si="1516"/>
        <v>0</v>
      </c>
      <c r="Y447" s="129"/>
      <c r="Z447" s="13"/>
      <c r="AA447" s="13"/>
      <c r="AB447" s="13"/>
      <c r="AC447" s="129"/>
      <c r="AD447" s="13"/>
      <c r="AE447" s="13"/>
      <c r="AF447" s="13"/>
      <c r="AG447" s="129"/>
      <c r="AH447" s="13"/>
      <c r="AI447" s="13"/>
      <c r="AJ447" s="13"/>
      <c r="AK447" s="129"/>
      <c r="AL447" s="13"/>
      <c r="AM447" s="13"/>
      <c r="AN447" s="13"/>
      <c r="AO447" s="165"/>
    </row>
    <row r="448" spans="1:41" s="1" customFormat="1" x14ac:dyDescent="0.25">
      <c r="A448" s="131"/>
      <c r="B448" s="134"/>
      <c r="C448" s="134"/>
      <c r="D448" s="134"/>
      <c r="E448" s="134"/>
      <c r="F448" s="8" t="s">
        <v>96</v>
      </c>
      <c r="G448" s="133">
        <f>SUM(G442:G447)</f>
        <v>433019.04000000004</v>
      </c>
      <c r="H448" s="133">
        <f t="shared" ref="H448:I448" si="1564">SUM(H442:H447)</f>
        <v>238160.47200000001</v>
      </c>
      <c r="I448" s="133">
        <f t="shared" si="1564"/>
        <v>194858.568</v>
      </c>
      <c r="J448" s="129" t="str">
        <f>IF(G448&gt;0.49,"*","")</f>
        <v>*</v>
      </c>
      <c r="K448" s="129"/>
      <c r="L448" s="133">
        <f t="shared" ref="L448" si="1565">SUM(L442:L447)</f>
        <v>0</v>
      </c>
      <c r="M448" s="133">
        <f>SUM(M442:M447)</f>
        <v>433019.04000000004</v>
      </c>
      <c r="N448" s="130"/>
      <c r="O448" s="133">
        <f t="shared" ref="O448:X448" si="1566">SUM(O442:O447)</f>
        <v>0</v>
      </c>
      <c r="P448" s="133">
        <f t="shared" si="1566"/>
        <v>0</v>
      </c>
      <c r="Q448" s="133">
        <f t="shared" si="1566"/>
        <v>0</v>
      </c>
      <c r="R448" s="133">
        <f t="shared" si="1566"/>
        <v>0</v>
      </c>
      <c r="S448" s="133">
        <f t="shared" ref="S448:U448" si="1567">SUM(S442:S447)</f>
        <v>0</v>
      </c>
      <c r="T448" s="133">
        <f t="shared" si="1567"/>
        <v>0</v>
      </c>
      <c r="U448" s="133">
        <f t="shared" si="1567"/>
        <v>0</v>
      </c>
      <c r="V448" s="133">
        <f t="shared" si="1566"/>
        <v>120750</v>
      </c>
      <c r="W448" s="133">
        <f t="shared" si="1566"/>
        <v>0</v>
      </c>
      <c r="X448" s="133">
        <f t="shared" si="1566"/>
        <v>0</v>
      </c>
      <c r="Y448" s="129"/>
      <c r="Z448" s="133">
        <f>SUM(Z442:Z447)</f>
        <v>413046.72000000003</v>
      </c>
      <c r="AA448" s="133">
        <f t="shared" ref="AA448:AB448" si="1568">SUM(AA442:AA447)</f>
        <v>206523.36000000002</v>
      </c>
      <c r="AB448" s="133">
        <f t="shared" si="1568"/>
        <v>206523.36000000002</v>
      </c>
      <c r="AC448" s="129"/>
      <c r="AD448" s="133">
        <f>SUM(AD442:AD447)</f>
        <v>413046.72000000003</v>
      </c>
      <c r="AE448" s="133">
        <f t="shared" ref="AE448:AF448" si="1569">SUM(AE442:AE447)</f>
        <v>206523.36000000002</v>
      </c>
      <c r="AF448" s="133">
        <f t="shared" si="1569"/>
        <v>206523.36000000002</v>
      </c>
      <c r="AG448" s="129"/>
      <c r="AH448" s="133">
        <f>SUM(AH442:AH447)</f>
        <v>413046.72000000003</v>
      </c>
      <c r="AI448" s="133">
        <f t="shared" ref="AI448:AJ448" si="1570">SUM(AI442:AI447)</f>
        <v>206523.36000000002</v>
      </c>
      <c r="AJ448" s="133">
        <f t="shared" si="1570"/>
        <v>206523.36000000002</v>
      </c>
      <c r="AK448" s="129"/>
      <c r="AL448" s="133">
        <f>SUM(AL442:AL447)</f>
        <v>413046.72000000003</v>
      </c>
      <c r="AM448" s="133">
        <f t="shared" ref="AM448:AN448" si="1571">SUM(AM442:AM447)</f>
        <v>206523.36000000002</v>
      </c>
      <c r="AN448" s="133">
        <f t="shared" si="1571"/>
        <v>206523.36000000002</v>
      </c>
      <c r="AO448" s="165"/>
    </row>
    <row r="449" spans="1:41" s="1" customFormat="1" x14ac:dyDescent="0.25">
      <c r="A449" s="131"/>
      <c r="B449" s="134"/>
      <c r="C449" s="134"/>
      <c r="D449" s="134"/>
      <c r="E449" s="134"/>
      <c r="F449" s="134"/>
      <c r="G449" s="13"/>
      <c r="H449" s="13"/>
      <c r="I449" s="13"/>
      <c r="J449" s="129" t="str">
        <f>IF(J448="*","*","")</f>
        <v>*</v>
      </c>
      <c r="K449" s="129"/>
      <c r="L449" s="129"/>
      <c r="M449" s="129"/>
      <c r="N449" s="130"/>
      <c r="O449" s="136"/>
      <c r="P449" s="136">
        <f t="shared" si="1563"/>
        <v>0</v>
      </c>
      <c r="Q449" s="136">
        <f t="shared" si="1542"/>
        <v>0</v>
      </c>
      <c r="R449" s="136">
        <f t="shared" si="1543"/>
        <v>0</v>
      </c>
      <c r="S449" s="136">
        <f t="shared" si="1376"/>
        <v>0</v>
      </c>
      <c r="T449" s="136">
        <f t="shared" si="1494"/>
        <v>0</v>
      </c>
      <c r="U449" s="136">
        <f t="shared" si="1494"/>
        <v>0</v>
      </c>
      <c r="V449" s="136">
        <f t="shared" si="1544"/>
        <v>0</v>
      </c>
      <c r="W449" s="136">
        <f t="shared" si="1545"/>
        <v>0</v>
      </c>
      <c r="X449" s="130">
        <f t="shared" si="1516"/>
        <v>0</v>
      </c>
      <c r="Y449" s="129"/>
      <c r="Z449" s="13"/>
      <c r="AA449" s="13"/>
      <c r="AB449" s="13"/>
      <c r="AC449" s="129"/>
      <c r="AD449" s="13"/>
      <c r="AE449" s="13"/>
      <c r="AF449" s="13"/>
      <c r="AG449" s="129"/>
      <c r="AH449" s="13"/>
      <c r="AI449" s="13"/>
      <c r="AJ449" s="13"/>
      <c r="AK449" s="129"/>
      <c r="AL449" s="13"/>
      <c r="AM449" s="13"/>
      <c r="AN449" s="13"/>
      <c r="AO449" s="165"/>
    </row>
    <row r="450" spans="1:41" x14ac:dyDescent="0.25">
      <c r="A450" s="131"/>
      <c r="J450" s="129" t="str">
        <f>IF(J451="*","*","")</f>
        <v>*</v>
      </c>
      <c r="L450" s="129"/>
      <c r="M450" s="129"/>
      <c r="N450" s="130">
        <f>+G79-'Revenue Input'!O61</f>
        <v>0</v>
      </c>
      <c r="O450" s="136"/>
      <c r="P450" s="136">
        <f t="shared" si="1563"/>
        <v>0</v>
      </c>
      <c r="Q450" s="136">
        <f t="shared" si="1542"/>
        <v>0</v>
      </c>
      <c r="R450" s="136">
        <f t="shared" si="1543"/>
        <v>0</v>
      </c>
      <c r="S450" s="136">
        <f t="shared" si="1376"/>
        <v>0</v>
      </c>
      <c r="T450" s="136">
        <f t="shared" si="1494"/>
        <v>0</v>
      </c>
      <c r="U450" s="136">
        <f t="shared" si="1494"/>
        <v>0</v>
      </c>
      <c r="V450" s="136">
        <f t="shared" si="1544"/>
        <v>0</v>
      </c>
      <c r="W450" s="136">
        <f t="shared" si="1545"/>
        <v>0</v>
      </c>
      <c r="X450" s="130">
        <f t="shared" si="1516"/>
        <v>0</v>
      </c>
      <c r="AO450" s="165"/>
    </row>
    <row r="451" spans="1:41" x14ac:dyDescent="0.25">
      <c r="A451" s="131"/>
      <c r="F451" s="87" t="s">
        <v>97</v>
      </c>
      <c r="G451" s="94">
        <f>SUM(G448,G440,G418,G414,G384,G373,G366,G336,G330,G320,G279,G261,G246,G239,G226,G213,G187,G169,G148)</f>
        <v>4920590.0649259435</v>
      </c>
      <c r="H451" s="94">
        <f>SUM(H448,H440,H418,H414,H384,H373,H366,H336,H330,H320,H279,H261,H246,H239,H226,H213,H187,H169,H148)</f>
        <v>2782887.0712354854</v>
      </c>
      <c r="I451" s="94">
        <f>SUM(I448,I440,I418,I414,I384,I373,I366,I336,I330,I320,I279,I261,I246,I239,I226,I213,I187,I169,I148)</f>
        <v>2137702.9936904586</v>
      </c>
      <c r="J451" s="129" t="str">
        <f>IF(G451&gt;0.49,"*","")</f>
        <v>*</v>
      </c>
      <c r="K451" s="207">
        <f>+G451-H451-I451</f>
        <v>0</v>
      </c>
      <c r="L451" s="132">
        <f>SUM(L448,L440,L418,L414,L384,L373,L366,L336,L330,L320,L279,L261,L246,L239,L226,L213,L187,L169,L148)</f>
        <v>3163245.7863414437</v>
      </c>
      <c r="M451" s="132">
        <f>SUM(M448,M440,M418,M414,M384,M373,M366,M336,M330,M320,M279,M261,M246,M239,M226,M213,M187,M169,M148)</f>
        <v>1757344.2785844998</v>
      </c>
      <c r="N451" s="183">
        <f>+G451-'Expense Input'!Q145-'Payroll Input'!P166</f>
        <v>95.483999999705702</v>
      </c>
      <c r="O451" s="94"/>
      <c r="P451" s="94">
        <f t="shared" ref="P451:X451" si="1572">SUM(P448,P440,P418,P414,P384,P373,P366,P336,P330,P320,P279,P261,P246,P239,P226,P213,P187,P169,P148)</f>
        <v>0</v>
      </c>
      <c r="Q451" s="94">
        <f t="shared" si="1572"/>
        <v>0</v>
      </c>
      <c r="R451" s="94">
        <f t="shared" si="1572"/>
        <v>186811.85739999998</v>
      </c>
      <c r="S451" s="94">
        <f t="shared" si="1572"/>
        <v>98541.073799999998</v>
      </c>
      <c r="T451" s="94">
        <f t="shared" si="1572"/>
        <v>143760.31</v>
      </c>
      <c r="U451" s="94">
        <f t="shared" si="1572"/>
        <v>45064.17</v>
      </c>
      <c r="V451" s="94">
        <f t="shared" si="1572"/>
        <v>120750</v>
      </c>
      <c r="W451" s="94">
        <f t="shared" si="1572"/>
        <v>276618.84610656335</v>
      </c>
      <c r="X451" s="94">
        <f t="shared" si="1572"/>
        <v>276618.84610656335</v>
      </c>
      <c r="Z451" s="94" t="e">
        <f>SUM(Z448,Z440,Z418,Z414,Z384,Z373,Z366,Z336,Z330,Z320,Z279,Z261,Z246,Z239,Z226,Z213,Z187,Z169,Z148)</f>
        <v>#DIV/0!</v>
      </c>
      <c r="AA451" s="94" t="e">
        <f>SUM(AA448,AA440,AA418,AA414,AA384,AA373,AA366,AA336,AA330,AA320,AA279,AA261,AA246,AA239,AA226,AA213,AA187,AA169,AA148)</f>
        <v>#REF!</v>
      </c>
      <c r="AB451" s="94" t="e">
        <f>SUM(AB448,AB440,AB418,AB414,AB384,AB373,AB366,AB336,AB330,AB320,AB279,AB261,AB246,AB239,AB226,AB213,AB187,AB169,AB148)</f>
        <v>#DIV/0!</v>
      </c>
      <c r="AD451" s="94" t="e">
        <f>SUM(AD448,AD440,AD418,AD414,AD384,AD373,AD366,AD336,AD330,AD320,AD279,AD261,AD246,AD239,AD226,AD213,AD187,AD169,AD148)</f>
        <v>#DIV/0!</v>
      </c>
      <c r="AE451" s="94" t="e">
        <f>SUM(AE448,AE440,AE418,AE414,AE384,AE373,AE366,AE336,AE330,AE320,AE279,AE261,AE246,AE239,AE226,AE213,AE187,AE169,AE148)</f>
        <v>#REF!</v>
      </c>
      <c r="AF451" s="94" t="e">
        <f>SUM(AF448,AF440,AF418,AF414,AF384,AF373,AF366,AF336,AF330,AF320,AF279,AF261,AF246,AF239,AF226,AF213,AF187,AF169,AF148)</f>
        <v>#DIV/0!</v>
      </c>
      <c r="AH451" s="94" t="e">
        <f>SUM(AH448,AH440,AH418,AH414,AH384,AH373,AH366,AH336,AH330,AH320,AH279,AH261,AH246,AH239,AH226,AH213,AH187,AH169,AH148)</f>
        <v>#DIV/0!</v>
      </c>
      <c r="AI451" s="94" t="e">
        <f>SUM(AI448,AI440,AI418,AI414,AI384,AI373,AI366,AI336,AI330,AI320,AI279,AI261,AI246,AI239,AI226,AI213,AI187,AI169,AI148)</f>
        <v>#REF!</v>
      </c>
      <c r="AJ451" s="94" t="e">
        <f>SUM(AJ448,AJ440,AJ418,AJ414,AJ384,AJ373,AJ366,AJ336,AJ330,AJ320,AJ279,AJ261,AJ246,AJ239,AJ226,AJ213,AJ187,AJ169,AJ148)</f>
        <v>#DIV/0!</v>
      </c>
      <c r="AL451" s="94" t="e">
        <f>SUM(AL448,AL440,AL418,AL414,AL384,AL373,AL366,AL336,AL330,AL320,AL279,AL261,AL246,AL239,AL226,AL213,AL187,AL169,AL148)</f>
        <v>#DIV/0!</v>
      </c>
      <c r="AM451" s="94" t="e">
        <f>SUM(AM448,AM440,AM418,AM414,AM384,AM373,AM366,AM336,AM330,AM320,AM279,AM261,AM246,AM239,AM226,AM213,AM187,AM169,AM148)</f>
        <v>#REF!</v>
      </c>
      <c r="AN451" s="94" t="e">
        <f>SUM(AN448,AN440,AN418,AN414,AN384,AN373,AN366,AN336,AN330,AN320,AN279,AN261,AN246,AN239,AN226,AN213,AN187,AN169,AN148)</f>
        <v>#DIV/0!</v>
      </c>
      <c r="AO451" s="165"/>
    </row>
    <row r="452" spans="1:41" x14ac:dyDescent="0.25">
      <c r="A452" s="131"/>
      <c r="B452" s="87"/>
      <c r="C452" s="87"/>
      <c r="D452" s="87"/>
      <c r="E452" s="87"/>
      <c r="J452" s="129" t="s">
        <v>2</v>
      </c>
      <c r="L452" s="129"/>
      <c r="M452" s="129"/>
      <c r="N452" s="152">
        <f>+G451-SUM(H451:I451)</f>
        <v>0</v>
      </c>
      <c r="O452" s="132"/>
      <c r="P452" s="132"/>
      <c r="Q452" s="132"/>
      <c r="R452" s="132"/>
      <c r="S452" s="132"/>
      <c r="T452" s="132"/>
      <c r="U452" s="132"/>
      <c r="V452" s="132"/>
      <c r="W452" s="132"/>
      <c r="X452" s="132"/>
      <c r="AO452" s="165"/>
    </row>
    <row r="453" spans="1:41" ht="18.75" customHeight="1" thickBot="1" x14ac:dyDescent="0.3">
      <c r="A453" s="131"/>
      <c r="B453" s="87"/>
      <c r="C453" s="87"/>
      <c r="D453" s="271" t="str">
        <f>IF(G453&gt;0,"Excess of Revenues Over Expenditures","Excess (Deficit) of Revenues Over Expenditures")</f>
        <v>Excess of Revenues Over Expenditures</v>
      </c>
      <c r="E453" s="271"/>
      <c r="F453" s="271"/>
      <c r="G453" s="233">
        <f>+G79-G451</f>
        <v>184951.27480207104</v>
      </c>
      <c r="H453" s="233">
        <f>+H79-H451</f>
        <v>56082.16498787934</v>
      </c>
      <c r="I453" s="233">
        <f>+I79-I451</f>
        <v>128869.10981419077</v>
      </c>
      <c r="J453" s="129" t="s">
        <v>2</v>
      </c>
      <c r="L453" s="130"/>
      <c r="M453" s="130"/>
      <c r="N453" s="129"/>
      <c r="O453" s="49"/>
      <c r="P453" s="49">
        <f t="shared" ref="P453:X453" si="1573">+P79-P451</f>
        <v>0</v>
      </c>
      <c r="Q453" s="49">
        <f t="shared" si="1573"/>
        <v>0</v>
      </c>
      <c r="R453" s="181">
        <f t="shared" si="1573"/>
        <v>1.1426000000210479</v>
      </c>
      <c r="S453" s="181">
        <f t="shared" si="1573"/>
        <v>-7.3799999998300336E-2</v>
      </c>
      <c r="T453" s="181">
        <f t="shared" si="1573"/>
        <v>0</v>
      </c>
      <c r="U453" s="181">
        <f t="shared" si="1573"/>
        <v>0</v>
      </c>
      <c r="V453" s="49">
        <f t="shared" si="1573"/>
        <v>0</v>
      </c>
      <c r="W453" s="49">
        <f t="shared" si="1573"/>
        <v>60606.006575934472</v>
      </c>
      <c r="X453" s="49">
        <f t="shared" si="1573"/>
        <v>60606.006575934472</v>
      </c>
      <c r="Z453" s="233" t="e">
        <f>+Z79-Z451</f>
        <v>#REF!</v>
      </c>
      <c r="AA453" s="233" t="e">
        <f>+AA79-AA451</f>
        <v>#REF!</v>
      </c>
      <c r="AB453" s="233" t="e">
        <f>+AB79-AB451</f>
        <v>#REF!</v>
      </c>
      <c r="AD453" s="233" t="e">
        <f>+AD79-AD451</f>
        <v>#REF!</v>
      </c>
      <c r="AE453" s="233" t="e">
        <f>+AE79-AE451</f>
        <v>#REF!</v>
      </c>
      <c r="AF453" s="233" t="e">
        <f>+AF79-AF451</f>
        <v>#REF!</v>
      </c>
      <c r="AH453" s="233" t="e">
        <f>+AH79-AH451</f>
        <v>#REF!</v>
      </c>
      <c r="AI453" s="233" t="e">
        <f>+AI79-AI451</f>
        <v>#REF!</v>
      </c>
      <c r="AJ453" s="233" t="e">
        <f>+AJ79-AJ451</f>
        <v>#REF!</v>
      </c>
      <c r="AL453" s="233" t="e">
        <f>+AL79-AL451</f>
        <v>#REF!</v>
      </c>
      <c r="AM453" s="233" t="e">
        <f>+AM79-AM451</f>
        <v>#REF!</v>
      </c>
      <c r="AN453" s="233" t="e">
        <f>+AN79-AN451</f>
        <v>#REF!</v>
      </c>
      <c r="AO453" s="165"/>
    </row>
    <row r="454" spans="1:41" ht="13.8" thickTop="1" x14ac:dyDescent="0.25">
      <c r="J454" s="129" t="s">
        <v>2</v>
      </c>
      <c r="L454" s="129"/>
      <c r="M454" s="129"/>
      <c r="N454" s="129"/>
      <c r="O454" s="132"/>
      <c r="P454" s="132"/>
      <c r="Q454" s="129"/>
      <c r="W454" s="129"/>
      <c r="X454" s="129"/>
      <c r="AO454" s="165"/>
    </row>
    <row r="455" spans="1:41" ht="13.2" hidden="1" customHeight="1" x14ac:dyDescent="0.25">
      <c r="D455" s="272" t="s">
        <v>98</v>
      </c>
      <c r="E455" s="272"/>
      <c r="F455" s="272"/>
      <c r="G455" s="104">
        <f>H455+I455</f>
        <v>0</v>
      </c>
      <c r="H455" s="104">
        <v>0</v>
      </c>
      <c r="I455" s="104">
        <v>0</v>
      </c>
      <c r="J455" s="129"/>
      <c r="L455" s="129"/>
      <c r="M455" s="129"/>
      <c r="N455" s="129"/>
      <c r="O455" s="50"/>
      <c r="P455" s="50"/>
      <c r="Q455" s="129"/>
      <c r="W455" s="129"/>
      <c r="X455" s="129"/>
      <c r="Z455" s="104">
        <f>AA455+AB455</f>
        <v>0</v>
      </c>
      <c r="AA455" s="104">
        <v>0</v>
      </c>
      <c r="AB455" s="104">
        <v>0</v>
      </c>
      <c r="AD455" s="104">
        <f>AE455+AF455</f>
        <v>0</v>
      </c>
      <c r="AE455" s="104">
        <v>0</v>
      </c>
      <c r="AF455" s="104">
        <v>0</v>
      </c>
      <c r="AH455" s="104">
        <f>AI455+AJ455</f>
        <v>0</v>
      </c>
      <c r="AI455" s="104">
        <v>0</v>
      </c>
      <c r="AJ455" s="104">
        <v>0</v>
      </c>
      <c r="AL455" s="104">
        <f>AM455+AN455</f>
        <v>0</v>
      </c>
      <c r="AM455" s="104">
        <v>0</v>
      </c>
      <c r="AN455" s="104">
        <v>0</v>
      </c>
      <c r="AO455" s="165"/>
    </row>
    <row r="456" spans="1:41" ht="13.2" hidden="1" customHeight="1" x14ac:dyDescent="0.25">
      <c r="H456" s="81"/>
      <c r="I456" s="81"/>
      <c r="J456" s="129"/>
      <c r="L456" s="129"/>
      <c r="M456" s="129"/>
      <c r="N456" s="129"/>
      <c r="O456" s="49"/>
      <c r="P456" s="132">
        <f>+G79-'Revenue Input'!O61</f>
        <v>0</v>
      </c>
      <c r="Q456" s="129"/>
      <c r="W456" s="129"/>
      <c r="X456" s="129"/>
      <c r="AA456" s="81"/>
      <c r="AB456" s="81"/>
      <c r="AE456" s="81"/>
      <c r="AF456" s="81"/>
      <c r="AI456" s="81"/>
      <c r="AJ456" s="81"/>
      <c r="AM456" s="81"/>
      <c r="AN456" s="81"/>
      <c r="AO456" s="165"/>
    </row>
    <row r="457" spans="1:41" ht="12.75" hidden="1" customHeight="1" thickBot="1" x14ac:dyDescent="0.3">
      <c r="D457" s="272" t="s">
        <v>99</v>
      </c>
      <c r="E457" s="272"/>
      <c r="F457" s="272"/>
      <c r="G457" s="95">
        <f>+G453+G455</f>
        <v>184951.27480207104</v>
      </c>
      <c r="H457" s="95">
        <f>+H453+H455</f>
        <v>56082.16498787934</v>
      </c>
      <c r="I457" s="95">
        <f t="shared" ref="I457" si="1574">+I453+I455</f>
        <v>128869.10981419077</v>
      </c>
      <c r="J457" s="129"/>
      <c r="L457" s="129"/>
      <c r="M457" s="129"/>
      <c r="N457" s="129"/>
      <c r="O457" s="37"/>
      <c r="P457" s="37"/>
      <c r="Q457" s="129"/>
      <c r="W457" s="129"/>
      <c r="X457" s="57"/>
      <c r="Z457" s="95" t="e">
        <f>+Z453+Z455</f>
        <v>#REF!</v>
      </c>
      <c r="AA457" s="95" t="e">
        <f>+AA453+AA455</f>
        <v>#REF!</v>
      </c>
      <c r="AB457" s="95" t="e">
        <f t="shared" ref="AB457" si="1575">+AB453+AB455</f>
        <v>#REF!</v>
      </c>
      <c r="AD457" s="95" t="e">
        <f>+AD453+AD455</f>
        <v>#REF!</v>
      </c>
      <c r="AE457" s="95" t="e">
        <f>+AE453+AE455</f>
        <v>#REF!</v>
      </c>
      <c r="AF457" s="95" t="e">
        <f t="shared" ref="AF457" si="1576">+AF453+AF455</f>
        <v>#REF!</v>
      </c>
      <c r="AH457" s="95" t="e">
        <f>+AH453+AH455</f>
        <v>#REF!</v>
      </c>
      <c r="AI457" s="95" t="e">
        <f>+AI453+AI455</f>
        <v>#REF!</v>
      </c>
      <c r="AJ457" s="95" t="e">
        <f t="shared" ref="AJ457" si="1577">+AJ453+AJ455</f>
        <v>#REF!</v>
      </c>
      <c r="AL457" s="95" t="e">
        <f>+AL453+AL455</f>
        <v>#REF!</v>
      </c>
      <c r="AM457" s="95" t="e">
        <f>+AM453+AM455</f>
        <v>#REF!</v>
      </c>
      <c r="AN457" s="95" t="e">
        <f t="shared" ref="AN457" si="1578">+AN453+AN455</f>
        <v>#REF!</v>
      </c>
      <c r="AO457" s="165"/>
    </row>
    <row r="458" spans="1:41" hidden="1" x14ac:dyDescent="0.25">
      <c r="J458" s="129"/>
      <c r="L458" s="129"/>
      <c r="M458" s="129"/>
      <c r="N458" s="129"/>
      <c r="O458" s="129"/>
      <c r="P458" s="129"/>
      <c r="Q458" s="129"/>
      <c r="W458" s="129"/>
      <c r="X458" s="129"/>
      <c r="AO458" s="165"/>
    </row>
    <row r="459" spans="1:41" hidden="1" x14ac:dyDescent="0.25">
      <c r="J459" s="129"/>
      <c r="L459" s="129"/>
      <c r="M459" s="129"/>
      <c r="N459" s="129"/>
      <c r="O459" s="129"/>
      <c r="P459" s="129"/>
      <c r="Q459" s="129"/>
      <c r="W459" s="129"/>
      <c r="X459" s="129"/>
      <c r="AO459" s="165"/>
    </row>
    <row r="460" spans="1:41" hidden="1" x14ac:dyDescent="0.25">
      <c r="F460" s="77" t="s">
        <v>100</v>
      </c>
      <c r="G460" s="88">
        <f>+G85+G89+G150+G151+G172+G189+G248+G190+G281+G284+G338+G386+G282+G420+G171+G173+G86+G90+G283+G191+G87+G88+G91</f>
        <v>2499236.1375626666</v>
      </c>
      <c r="H460" s="88">
        <f>+H85+H89+H150+H151+H172+H189+H248+H190+H281+H284+H338+H386+H282+H420+H171+H173+H86+H90+H283+H191+H87+H88+H91</f>
        <v>1546921.9481333334</v>
      </c>
      <c r="I460" s="88">
        <f>+I85+I89+I150+I151+I172+I189+I248+I190+I281+I284+I338+I386+I282+I420+I171+I173+I86+I90+I283+I191+I87+I88+I91</f>
        <v>952314.18942933343</v>
      </c>
      <c r="J460" s="129"/>
      <c r="L460" s="129"/>
      <c r="M460" s="129"/>
      <c r="N460" s="129"/>
      <c r="O460" s="129"/>
      <c r="P460" s="129"/>
      <c r="Q460" s="129"/>
      <c r="W460" s="129"/>
      <c r="X460" s="129"/>
      <c r="Z460" s="88" t="e">
        <f>+Z85+Z89+Z150+Z151+Z172+Z189+#REF!+Z248+Z190+Z281+Z284+Z338+Z386+Z420+Z171+Z173+Z86+Z90</f>
        <v>#REF!</v>
      </c>
      <c r="AA460" s="88" t="e">
        <f>+AA85+AA89+AA150+AA151+AA172+AA189+#REF!+AA248+AA190+AA281+AA284+AA338+AA386+AA420+AA171+AA173+AA86+AA90</f>
        <v>#REF!</v>
      </c>
      <c r="AB460" s="88" t="e">
        <f>+AB85+AB89+AB150+AB151+AB172+AB189+#REF!+AB248+AB190+AB281+AB284+AB338+AB386+AB420+AB171+AB173+AB86+AB90</f>
        <v>#REF!</v>
      </c>
      <c r="AD460" s="88" t="e">
        <f>+AD85+AD89+AD150+AD151+AD172+AD189+#REF!+AD248+AD190+AD281+AD284+AD338+AD386+AD420+AD171+AD173+AD86+AD90</f>
        <v>#REF!</v>
      </c>
      <c r="AE460" s="88" t="e">
        <f>+AE85+AE89+AE150+AE151+AE172+AE189+#REF!+AE248+AE190+AE281+AE284+AE338+AE386+AE420+AE171+AE173+AE86+AE90</f>
        <v>#REF!</v>
      </c>
      <c r="AF460" s="88" t="e">
        <f>+AF85+AF89+AF150+AF151+AF172+AF189+#REF!+AF248+AF190+AF281+AF284+AF338+AF386+AF420+AF171+AF173+AF86+AF90</f>
        <v>#REF!</v>
      </c>
      <c r="AH460" s="88" t="e">
        <f>+AH85+AH89+AH150+AH151+AH172+AH189+#REF!+AH248+AH190+AH281+AH284+AH338+AH386+AH420+AH171+AH173+AH86+AH90</f>
        <v>#REF!</v>
      </c>
      <c r="AI460" s="88" t="e">
        <f>+AI85+AI89+AI150+AI151+AI172+AI189+#REF!+AI248+AI190+AI281+AI284+AI338+AI386+AI420+AI171+AI173+AI86+AI90</f>
        <v>#REF!</v>
      </c>
      <c r="AJ460" s="88" t="e">
        <f>+AJ85+AJ89+AJ150+AJ151+AJ172+AJ189+#REF!+AJ248+AJ190+AJ281+AJ284+AJ338+AJ386+AJ420+AJ171+AJ173+AJ86+AJ90</f>
        <v>#REF!</v>
      </c>
      <c r="AL460" s="88" t="e">
        <f>+AL85+AL89+AL150+AL151+AL172+AL189+#REF!+AL248+AL190+AL281+AL284+AL338+AL386+AL420+AL171+AL173+AL86+AL90</f>
        <v>#REF!</v>
      </c>
      <c r="AM460" s="88" t="e">
        <f>+AM85+AM89+AM150+AM151+AM172+AM189+#REF!+AM248+AM190+AM281+AM284+AM338+AM386+AM420+AM171+AM173+AM86+AM90</f>
        <v>#REF!</v>
      </c>
      <c r="AN460" s="88" t="e">
        <f>+AN85+AN89+AN150+AN151+AN172+AN189+#REF!+AN248+AN190+AN281+AN284+AN338+AN386+AN420+AN171+AN173+AN86+AN90</f>
        <v>#REF!</v>
      </c>
      <c r="AO460" s="165"/>
    </row>
    <row r="461" spans="1:41" hidden="1" x14ac:dyDescent="0.25">
      <c r="F461" s="77" t="s">
        <v>101</v>
      </c>
      <c r="G461" s="88">
        <f>0.0125*G460</f>
        <v>31240.451719533332</v>
      </c>
      <c r="H461" s="88">
        <f>0.0125*H460</f>
        <v>19336.524351666667</v>
      </c>
      <c r="I461" s="88">
        <f t="shared" ref="I461" si="1579">0.0125*I460</f>
        <v>11903.927367866669</v>
      </c>
      <c r="J461" s="129"/>
      <c r="L461" s="129"/>
      <c r="M461" s="129"/>
      <c r="N461" s="129"/>
      <c r="O461" s="129"/>
      <c r="P461" s="129"/>
      <c r="Q461" s="129"/>
      <c r="W461" s="129"/>
      <c r="X461" s="129"/>
      <c r="Z461" s="88" t="e">
        <f>0.0125*Z460</f>
        <v>#REF!</v>
      </c>
      <c r="AA461" s="88" t="e">
        <f>0.0125*AA460</f>
        <v>#REF!</v>
      </c>
      <c r="AB461" s="88" t="e">
        <f t="shared" ref="AB461" si="1580">0.0125*AB460</f>
        <v>#REF!</v>
      </c>
      <c r="AD461" s="88" t="e">
        <f>0.0125*AD460</f>
        <v>#REF!</v>
      </c>
      <c r="AE461" s="88" t="e">
        <f>0.0125*AE460</f>
        <v>#REF!</v>
      </c>
      <c r="AF461" s="88" t="e">
        <f t="shared" ref="AF461" si="1581">0.0125*AF460</f>
        <v>#REF!</v>
      </c>
      <c r="AH461" s="88" t="e">
        <f>0.0125*AH460</f>
        <v>#REF!</v>
      </c>
      <c r="AI461" s="88" t="e">
        <f>0.0125*AI460</f>
        <v>#REF!</v>
      </c>
      <c r="AJ461" s="88" t="e">
        <f t="shared" ref="AJ461" si="1582">0.0125*AJ460</f>
        <v>#REF!</v>
      </c>
      <c r="AL461" s="88" t="e">
        <f>0.0125*AL460</f>
        <v>#REF!</v>
      </c>
      <c r="AM461" s="88" t="e">
        <f>0.0125*AM460</f>
        <v>#REF!</v>
      </c>
      <c r="AN461" s="88" t="e">
        <f t="shared" ref="AN461" si="1583">0.0125*AN460</f>
        <v>#REF!</v>
      </c>
      <c r="AO461" s="165"/>
    </row>
    <row r="462" spans="1:41" hidden="1" x14ac:dyDescent="0.25">
      <c r="G462" s="88">
        <f>+G460-'Payroll Input'!H166</f>
        <v>-37948.000000000466</v>
      </c>
      <c r="J462" s="129"/>
      <c r="L462" s="129"/>
      <c r="M462" s="129"/>
      <c r="N462" s="129"/>
      <c r="O462" s="129"/>
      <c r="P462" s="129"/>
      <c r="Q462" s="129"/>
      <c r="W462" s="129"/>
      <c r="X462" s="129"/>
      <c r="AO462" s="165"/>
    </row>
    <row r="463" spans="1:41" hidden="1" x14ac:dyDescent="0.25">
      <c r="F463" s="87">
        <v>432</v>
      </c>
      <c r="G463" s="88">
        <f>G57+G58</f>
        <v>285354</v>
      </c>
      <c r="H463" s="88">
        <f>H57+H58</f>
        <v>186813</v>
      </c>
      <c r="I463" s="88">
        <f>I57+I58</f>
        <v>98541</v>
      </c>
      <c r="J463" s="129"/>
      <c r="L463" s="129"/>
      <c r="M463" s="129"/>
      <c r="N463" s="129"/>
      <c r="O463" s="129"/>
      <c r="P463" s="129"/>
      <c r="Q463" s="129"/>
      <c r="W463" s="129"/>
      <c r="X463" s="129"/>
      <c r="Z463" s="88">
        <f>Z60</f>
        <v>25577.724800000004</v>
      </c>
      <c r="AA463" s="88">
        <f>AA60</f>
        <v>17836.913100000002</v>
      </c>
      <c r="AB463" s="88">
        <f>AB60</f>
        <v>7740.8117000000002</v>
      </c>
      <c r="AD463" s="88">
        <f>AD60</f>
        <v>25833.502048000002</v>
      </c>
      <c r="AE463" s="88">
        <f>AE60</f>
        <v>18015.282231000001</v>
      </c>
      <c r="AF463" s="88">
        <f>AF60</f>
        <v>7818.2198170000001</v>
      </c>
      <c r="AH463" s="88">
        <f>AH60</f>
        <v>26091.837068480003</v>
      </c>
      <c r="AI463" s="88">
        <f>AI60</f>
        <v>18195.435053310001</v>
      </c>
      <c r="AJ463" s="88">
        <f>AJ60</f>
        <v>7896.4020151700006</v>
      </c>
      <c r="AL463" s="88">
        <f>AL60</f>
        <v>26352.755439164801</v>
      </c>
      <c r="AM463" s="88">
        <f>AM60</f>
        <v>18377.389403843099</v>
      </c>
      <c r="AN463" s="88">
        <f>AN60</f>
        <v>7975.366035321701</v>
      </c>
      <c r="AO463" s="165"/>
    </row>
    <row r="464" spans="1:41" hidden="1" x14ac:dyDescent="0.25">
      <c r="G464" s="88">
        <f>SUMIF($B$85:$B$445,432,G$85:G$445)</f>
        <v>285352.93119999999</v>
      </c>
      <c r="H464" s="88">
        <f>SUMIF($B$85:$B$445,432,H$85:H$445)</f>
        <v>186811.85739999998</v>
      </c>
      <c r="I464" s="88">
        <f>SUMIF($B$85:$B$445,432,I$85:I$445)</f>
        <v>98541.073799999998</v>
      </c>
      <c r="J464" s="129"/>
      <c r="L464" s="129"/>
      <c r="M464" s="129"/>
      <c r="N464" s="129"/>
      <c r="O464" s="129"/>
      <c r="P464" s="129"/>
      <c r="Q464" s="129"/>
      <c r="W464" s="129"/>
      <c r="X464" s="129"/>
      <c r="Z464" s="88">
        <f>SUMIF($B$85:$B$445,432,Z$85:Z$445)</f>
        <v>407534.08144262619</v>
      </c>
      <c r="AA464" s="88">
        <f>SUMIF($B$85:$B$445,432,AA$85:AA$445)</f>
        <v>244085.94437043025</v>
      </c>
      <c r="AB464" s="88">
        <f>SUMIF($B$85:$B$445,432,AB$85:AB$445)</f>
        <v>163448.13707219591</v>
      </c>
      <c r="AD464" s="88">
        <f>SUMIF($B$85:$B$445,432,AD$85:AD$445)</f>
        <v>411609.42225705239</v>
      </c>
      <c r="AE464" s="88">
        <f>SUMIF($B$85:$B$445,432,AE$85:AE$445)</f>
        <v>246526.80381413453</v>
      </c>
      <c r="AF464" s="88">
        <f>SUMIF($B$85:$B$445,432,AF$85:AF$445)</f>
        <v>165082.61844291791</v>
      </c>
      <c r="AH464" s="88">
        <f>SUMIF($B$85:$B$445,432,AH$85:AH$445)</f>
        <v>425407.27269385906</v>
      </c>
      <c r="AI464" s="88">
        <f>SUMIF($B$85:$B$445,432,AI$85:AI$445)</f>
        <v>253526.25807266383</v>
      </c>
      <c r="AJ464" s="88">
        <f>SUMIF($B$85:$B$445,432,AJ$85:AJ$445)</f>
        <v>171881.01462119535</v>
      </c>
      <c r="AL464" s="88">
        <f>SUMIF($B$85:$B$445,432,AL$85:AL$445)</f>
        <v>429661.3454207977</v>
      </c>
      <c r="AM464" s="88">
        <f>SUMIF($B$85:$B$445,432,AM$85:AM$445)</f>
        <v>256061.52065339038</v>
      </c>
      <c r="AN464" s="88">
        <f>SUMIF($B$85:$B$445,432,AN$85:AN$445)</f>
        <v>173599.82476740732</v>
      </c>
      <c r="AO464" s="165"/>
    </row>
    <row r="465" spans="6:41" hidden="1" x14ac:dyDescent="0.25">
      <c r="G465" s="88">
        <f>+G463-G464</f>
        <v>1.0688000000081956</v>
      </c>
      <c r="H465" s="88">
        <f t="shared" ref="H465:I465" si="1584">+H463-H464</f>
        <v>1.1426000000210479</v>
      </c>
      <c r="I465" s="88">
        <f t="shared" si="1584"/>
        <v>-7.3799999998300336E-2</v>
      </c>
      <c r="J465" s="129"/>
      <c r="L465" s="129"/>
      <c r="M465" s="129"/>
      <c r="N465" s="129"/>
      <c r="O465" s="129"/>
      <c r="P465" s="129"/>
      <c r="Q465" s="129"/>
      <c r="W465" s="129"/>
      <c r="X465" s="129"/>
      <c r="Z465" s="88">
        <f>+Z463-Z464</f>
        <v>-381956.35664262617</v>
      </c>
      <c r="AA465" s="88">
        <f t="shared" ref="AA465" si="1585">+AA463-AA464</f>
        <v>-226249.03127043025</v>
      </c>
      <c r="AB465" s="88">
        <f t="shared" ref="AB465" si="1586">+AB463-AB464</f>
        <v>-155707.32537219592</v>
      </c>
      <c r="AD465" s="88">
        <f>+AD463-AD464</f>
        <v>-385775.92020905239</v>
      </c>
      <c r="AE465" s="88">
        <f t="shared" ref="AE465" si="1587">+AE463-AE464</f>
        <v>-228511.52158313454</v>
      </c>
      <c r="AF465" s="88">
        <f t="shared" ref="AF465" si="1588">+AF463-AF464</f>
        <v>-157264.39862591791</v>
      </c>
      <c r="AH465" s="88">
        <f>+AH463-AH464</f>
        <v>-399315.43562537909</v>
      </c>
      <c r="AI465" s="88">
        <f t="shared" ref="AI465" si="1589">+AI463-AI464</f>
        <v>-235330.82301935382</v>
      </c>
      <c r="AJ465" s="88">
        <f t="shared" ref="AJ465" si="1590">+AJ463-AJ464</f>
        <v>-163984.61260602536</v>
      </c>
      <c r="AL465" s="88">
        <f>+AL463-AL464</f>
        <v>-403308.58998163289</v>
      </c>
      <c r="AM465" s="88">
        <f t="shared" ref="AM465" si="1591">+AM463-AM464</f>
        <v>-237684.1312495473</v>
      </c>
      <c r="AN465" s="88">
        <f t="shared" ref="AN465" si="1592">+AN463-AN464</f>
        <v>-165624.45873208562</v>
      </c>
      <c r="AO465" s="165"/>
    </row>
    <row r="466" spans="6:41" hidden="1" x14ac:dyDescent="0.25">
      <c r="J466" s="129"/>
      <c r="L466" s="129"/>
      <c r="M466" s="129"/>
      <c r="N466" s="129"/>
      <c r="O466" s="129"/>
      <c r="P466" s="129"/>
      <c r="Q466" s="129"/>
      <c r="W466" s="129"/>
      <c r="X466" s="129"/>
      <c r="AO466" s="165"/>
    </row>
    <row r="467" spans="6:41" hidden="1" x14ac:dyDescent="0.25">
      <c r="F467" s="87">
        <v>360</v>
      </c>
      <c r="G467" s="88">
        <f>G49</f>
        <v>278250</v>
      </c>
      <c r="H467" s="88">
        <f>H49</f>
        <v>157500</v>
      </c>
      <c r="I467" s="88">
        <f>I49</f>
        <v>120750</v>
      </c>
      <c r="J467" s="129"/>
      <c r="L467" s="129"/>
      <c r="M467" s="129"/>
      <c r="N467" s="129"/>
      <c r="O467" s="129"/>
      <c r="P467" s="129"/>
      <c r="Q467" s="129"/>
      <c r="W467" s="129"/>
      <c r="X467" s="129"/>
      <c r="Z467" s="88">
        <f>Z52</f>
        <v>10183.212550428281</v>
      </c>
      <c r="AA467" s="88">
        <f>AA52</f>
        <v>0</v>
      </c>
      <c r="AB467" s="88">
        <f>AB52</f>
        <v>10183.212550428281</v>
      </c>
      <c r="AD467" s="88">
        <f>AD52</f>
        <v>10183.212550428281</v>
      </c>
      <c r="AE467" s="88">
        <f>AE52</f>
        <v>0</v>
      </c>
      <c r="AF467" s="88">
        <f>AF52</f>
        <v>10183.212550428281</v>
      </c>
      <c r="AH467" s="88">
        <f>AH52</f>
        <v>10966.536592768918</v>
      </c>
      <c r="AI467" s="88">
        <f>AI52</f>
        <v>0</v>
      </c>
      <c r="AJ467" s="88">
        <f>AJ52</f>
        <v>10966.536592768918</v>
      </c>
      <c r="AL467" s="88">
        <f>AL52</f>
        <v>10966.536592768918</v>
      </c>
      <c r="AM467" s="88">
        <f>AM52</f>
        <v>0</v>
      </c>
      <c r="AN467" s="88">
        <f>AN52</f>
        <v>10966.536592768918</v>
      </c>
      <c r="AO467" s="165"/>
    </row>
    <row r="468" spans="6:41" hidden="1" x14ac:dyDescent="0.25">
      <c r="G468" s="88">
        <f>SUMIF($B$85:$B$445,360,G$85:G$445)</f>
        <v>278250</v>
      </c>
      <c r="H468" s="88">
        <f>SUMIF($B$85:$B$445,360,H$85:H$445)</f>
        <v>157500</v>
      </c>
      <c r="I468" s="88">
        <f>SUMIF($B$85:$B$445,360,I$85:I$445)</f>
        <v>120750</v>
      </c>
      <c r="J468" s="129"/>
      <c r="L468" s="129"/>
      <c r="M468" s="129"/>
      <c r="N468" s="129"/>
      <c r="O468" s="129"/>
      <c r="P468" s="129"/>
      <c r="Q468" s="129"/>
      <c r="W468" s="129"/>
      <c r="X468" s="129"/>
      <c r="Z468" s="88">
        <f t="shared" ref="Z468:AF468" si="1593">SUMIF($B$85:$B$445,360,Z$85:Z$445)</f>
        <v>10183.212550428281</v>
      </c>
      <c r="AA468" s="88">
        <f t="shared" si="1593"/>
        <v>0</v>
      </c>
      <c r="AB468" s="88">
        <f t="shared" si="1593"/>
        <v>10183.212550428281</v>
      </c>
      <c r="AC468" s="88">
        <f t="shared" si="1593"/>
        <v>0</v>
      </c>
      <c r="AD468" s="88">
        <f t="shared" si="1593"/>
        <v>10183.212550428281</v>
      </c>
      <c r="AE468" s="88">
        <f t="shared" si="1593"/>
        <v>0</v>
      </c>
      <c r="AF468" s="88">
        <f t="shared" si="1593"/>
        <v>10183.212550428281</v>
      </c>
      <c r="AH468" s="88">
        <f>SUMIF($B$85:$B$445,360,AH$85:AH$445)</f>
        <v>10966.536592768918</v>
      </c>
      <c r="AI468" s="88">
        <f>SUMIF($B$85:$B$445,360,AI$85:AI$445)</f>
        <v>0</v>
      </c>
      <c r="AJ468" s="88">
        <f>SUMIF($B$85:$B$445,360,AJ$85:AJ$445)</f>
        <v>10966.536592768918</v>
      </c>
      <c r="AL468" s="88">
        <f>SUMIF($B$85:$B$445,360,AL$85:AL$445)</f>
        <v>10966.536592768918</v>
      </c>
      <c r="AM468" s="88">
        <f>SUMIF($B$85:$B$445,360,AM$85:AM$445)</f>
        <v>0</v>
      </c>
      <c r="AN468" s="88">
        <f>SUMIF($B$85:$B$445,360,AN$85:AN$445)</f>
        <v>10966.536592768918</v>
      </c>
      <c r="AO468" s="165"/>
    </row>
    <row r="469" spans="6:41" hidden="1" x14ac:dyDescent="0.25">
      <c r="G469" s="88">
        <f>+G467-G468</f>
        <v>0</v>
      </c>
      <c r="H469" s="88">
        <f t="shared" ref="H469" si="1594">+H467-H468</f>
        <v>0</v>
      </c>
      <c r="I469" s="88">
        <f t="shared" ref="I469" si="1595">+I467-I468</f>
        <v>0</v>
      </c>
      <c r="J469" s="129"/>
      <c r="L469" s="129"/>
      <c r="M469" s="129"/>
      <c r="N469" s="129"/>
      <c r="O469" s="129"/>
      <c r="P469" s="129"/>
      <c r="Q469" s="129"/>
      <c r="W469" s="129"/>
      <c r="X469" s="129"/>
      <c r="Z469" s="88">
        <f>+Z467-Z468</f>
        <v>0</v>
      </c>
      <c r="AA469" s="88">
        <f t="shared" ref="AA469" si="1596">+AA467-AA468</f>
        <v>0</v>
      </c>
      <c r="AB469" s="88">
        <f t="shared" ref="AB469" si="1597">+AB467-AB468</f>
        <v>0</v>
      </c>
      <c r="AD469" s="88">
        <f>+AD467-AD468</f>
        <v>0</v>
      </c>
      <c r="AE469" s="88">
        <f t="shared" ref="AE469" si="1598">+AE467-AE468</f>
        <v>0</v>
      </c>
      <c r="AF469" s="88">
        <f t="shared" ref="AF469" si="1599">+AF467-AF468</f>
        <v>0</v>
      </c>
      <c r="AH469" s="88">
        <f>+AH467-AH468</f>
        <v>0</v>
      </c>
      <c r="AI469" s="88">
        <f t="shared" ref="AI469" si="1600">+AI467-AI468</f>
        <v>0</v>
      </c>
      <c r="AJ469" s="88">
        <f t="shared" ref="AJ469" si="1601">+AJ467-AJ468</f>
        <v>0</v>
      </c>
      <c r="AL469" s="88">
        <f>+AL467-AL468</f>
        <v>0</v>
      </c>
      <c r="AM469" s="88">
        <f t="shared" ref="AM469" si="1602">+AM467-AM468</f>
        <v>0</v>
      </c>
      <c r="AN469" s="88">
        <f t="shared" ref="AN469" si="1603">+AN467-AN468</f>
        <v>0</v>
      </c>
    </row>
    <row r="472" spans="6:41" x14ac:dyDescent="0.25">
      <c r="H472" s="231"/>
      <c r="I472" s="231"/>
      <c r="J472" s="129"/>
      <c r="L472" s="129"/>
      <c r="M472" s="129"/>
      <c r="N472" s="129"/>
      <c r="O472" s="129"/>
      <c r="P472" s="129"/>
      <c r="Q472" s="129"/>
      <c r="W472" s="129"/>
      <c r="X472" s="129"/>
    </row>
  </sheetData>
  <sheetProtection algorithmName="SHA-512" hashValue="uUL/1GuyGbIngkBz2rfnjSy71lltSF/v/fJWXG6tHyWk73xYqDhmv5EuYRSMpjdDCFWpkoWKUEe/YqS4xGN1Xg==" saltValue="nsCrWuCnv+iQWqQYERI6qw==" spinCount="100000" sheet="1" objects="1" scenarios="1"/>
  <autoFilter ref="J1:J457" xr:uid="{00000000-0009-0000-0000-000000000000}">
    <filterColumn colId="0">
      <customFilters>
        <customFilter operator="notEqual" val=" "/>
      </customFilters>
    </filterColumn>
  </autoFilter>
  <mergeCells count="8">
    <mergeCell ref="AL7:AN7"/>
    <mergeCell ref="D453:F453"/>
    <mergeCell ref="D455:F455"/>
    <mergeCell ref="D457:F457"/>
    <mergeCell ref="Z7:AB7"/>
    <mergeCell ref="G7:I7"/>
    <mergeCell ref="AD7:AF7"/>
    <mergeCell ref="AH7:AJ7"/>
  </mergeCells>
  <phoneticPr fontId="19" type="noConversion"/>
  <printOptions horizontalCentered="1"/>
  <pageMargins left="0" right="0" top="0.5" bottom="0.5" header="0" footer="0"/>
  <pageSetup scale="75" fitToHeight="5" orientation="portrait" horizontalDpi="300" verticalDpi="300" r:id="rId1"/>
  <headerFooter alignWithMargins="0"/>
  <rowBreaks count="4" manualBreakCount="4">
    <brk id="79" max="16383" man="1"/>
    <brk id="169" max="16383" man="1"/>
    <brk id="279" max="16383" man="1"/>
    <brk id="38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>
    <pageSetUpPr fitToPage="1"/>
  </sheetPr>
  <dimension ref="A1:AG198"/>
  <sheetViews>
    <sheetView showOutlineSymbols="0" topLeftCell="B1" zoomScaleNormal="100" workbookViewId="0">
      <selection activeCell="B1" sqref="B1"/>
    </sheetView>
  </sheetViews>
  <sheetFormatPr defaultColWidth="4.6640625" defaultRowHeight="12.75" customHeight="1" x14ac:dyDescent="0.25"/>
  <cols>
    <col min="1" max="1" width="0" style="1" hidden="1" customWidth="1"/>
    <col min="2" max="2" width="4.109375" style="1" customWidth="1"/>
    <col min="3" max="3" width="4.6640625" style="1"/>
    <col min="4" max="5" width="3" style="1" customWidth="1"/>
    <col min="6" max="6" width="25.33203125" style="1" bestFit="1" customWidth="1"/>
    <col min="7" max="7" width="10.88671875" style="1" hidden="1" customWidth="1"/>
    <col min="8" max="8" width="1.88671875" style="1" customWidth="1"/>
    <col min="9" max="9" width="10.88671875" style="1" bestFit="1" customWidth="1"/>
    <col min="10" max="10" width="1.5546875" style="1" customWidth="1"/>
    <col min="11" max="11" width="10.88671875" style="1" bestFit="1" customWidth="1"/>
    <col min="12" max="12" width="1.5546875" style="1" customWidth="1"/>
    <col min="13" max="13" width="9.6640625" style="1" customWidth="1"/>
    <col min="14" max="14" width="1" style="1" customWidth="1"/>
    <col min="15" max="15" width="11.109375" style="1" bestFit="1" customWidth="1"/>
    <col min="16" max="16" width="10.88671875" style="1" bestFit="1" customWidth="1"/>
    <col min="17" max="17" width="10.88671875" style="1" customWidth="1"/>
    <col min="18" max="18" width="2.6640625" style="1" hidden="1" customWidth="1"/>
    <col min="19" max="19" width="4.6640625" style="1" hidden="1" customWidth="1"/>
    <col min="20" max="20" width="1.33203125" style="1" customWidth="1"/>
    <col min="21" max="21" width="4.6640625" style="1" hidden="1" customWidth="1"/>
    <col min="22" max="22" width="28.109375" style="9" bestFit="1" customWidth="1"/>
    <col min="23" max="24" width="4.6640625" style="12" hidden="1" customWidth="1"/>
    <col min="25" max="25" width="6.33203125" style="12" hidden="1" customWidth="1"/>
    <col min="26" max="26" width="4.6640625" style="12" hidden="1" customWidth="1"/>
    <col min="27" max="27" width="4.6640625" style="12" customWidth="1"/>
    <col min="28" max="16384" width="4.6640625" style="12"/>
  </cols>
  <sheetData>
    <row r="1" spans="1:33" s="1" customFormat="1" ht="13.2" x14ac:dyDescent="0.25">
      <c r="A1" s="129"/>
      <c r="B1" s="48" t="str">
        <f>Budget!B1</f>
        <v>PALM BAY ELEMENTARY/ PALM BAY PREPARATORY ACADEMY</v>
      </c>
      <c r="C1" s="48"/>
      <c r="D1" s="48"/>
      <c r="E1" s="48"/>
      <c r="F1" s="48"/>
      <c r="G1" s="47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9"/>
      <c r="W1" s="129" t="s">
        <v>2</v>
      </c>
      <c r="X1" s="129"/>
      <c r="Y1" s="129"/>
      <c r="Z1" s="129"/>
      <c r="AA1" s="129"/>
      <c r="AB1" s="129"/>
      <c r="AC1" s="129"/>
      <c r="AD1" s="129"/>
      <c r="AE1" s="129"/>
      <c r="AF1" s="129"/>
      <c r="AG1" s="129"/>
    </row>
    <row r="2" spans="1:33" s="1" customFormat="1" ht="13.2" x14ac:dyDescent="0.25">
      <c r="A2" s="129"/>
      <c r="B2" s="48" t="s">
        <v>104</v>
      </c>
      <c r="C2" s="48"/>
      <c r="D2" s="48"/>
      <c r="E2" s="48"/>
      <c r="F2" s="48"/>
      <c r="G2" s="47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9"/>
      <c r="W2" s="129" t="s">
        <v>2</v>
      </c>
      <c r="X2" s="129"/>
      <c r="Y2" s="129"/>
      <c r="Z2" s="129"/>
      <c r="AA2" s="129"/>
      <c r="AB2" s="129"/>
      <c r="AC2" s="129"/>
      <c r="AD2" s="129"/>
      <c r="AE2" s="129"/>
      <c r="AF2" s="129"/>
      <c r="AG2" s="129"/>
    </row>
    <row r="3" spans="1:33" s="1" customFormat="1" ht="17.25" customHeight="1" x14ac:dyDescent="0.25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52"/>
      <c r="Q3" s="129"/>
      <c r="R3" s="129"/>
      <c r="S3" s="129"/>
      <c r="T3" s="129"/>
      <c r="U3" s="129"/>
      <c r="V3" s="9"/>
      <c r="W3" s="129" t="s">
        <v>2</v>
      </c>
      <c r="X3" s="129"/>
      <c r="Y3" s="129"/>
      <c r="Z3" s="129"/>
      <c r="AA3" s="129"/>
      <c r="AB3" s="129"/>
      <c r="AC3" s="129"/>
      <c r="AD3" s="129"/>
      <c r="AE3" s="129"/>
      <c r="AF3" s="129"/>
      <c r="AG3" s="129"/>
    </row>
    <row r="4" spans="1:33" s="1" customFormat="1" ht="13.2" x14ac:dyDescent="0.25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9"/>
      <c r="W4" s="129" t="s">
        <v>2</v>
      </c>
      <c r="X4" s="129"/>
      <c r="Y4" s="129"/>
      <c r="Z4" s="129"/>
      <c r="AA4" s="129"/>
      <c r="AB4" s="129"/>
      <c r="AC4" s="129"/>
      <c r="AD4" s="129"/>
      <c r="AE4" s="129"/>
      <c r="AF4" s="129"/>
      <c r="AG4" s="129"/>
    </row>
    <row r="5" spans="1:33" s="1" customFormat="1" ht="13.2" x14ac:dyDescent="0.25">
      <c r="A5" s="129"/>
      <c r="B5" s="129"/>
      <c r="C5" s="129"/>
      <c r="D5" s="129"/>
      <c r="E5" s="129"/>
      <c r="F5" s="129"/>
      <c r="G5" s="141" t="s">
        <v>13</v>
      </c>
      <c r="H5" s="260"/>
      <c r="I5" s="197" t="s">
        <v>13</v>
      </c>
      <c r="J5" s="197"/>
      <c r="K5" s="197" t="s">
        <v>14</v>
      </c>
      <c r="L5" s="197"/>
      <c r="M5" s="197" t="s">
        <v>105</v>
      </c>
      <c r="N5" s="203"/>
      <c r="O5" s="197" t="s">
        <v>105</v>
      </c>
      <c r="P5" s="141" t="s">
        <v>13</v>
      </c>
      <c r="Q5" s="141" t="s">
        <v>14</v>
      </c>
      <c r="R5" s="116"/>
      <c r="S5" s="116"/>
      <c r="T5" s="116"/>
      <c r="U5" s="129"/>
      <c r="V5" s="9"/>
      <c r="W5" s="129" t="s">
        <v>2</v>
      </c>
      <c r="X5" s="129"/>
      <c r="Y5" s="129"/>
      <c r="Z5" s="129"/>
      <c r="AA5" s="129"/>
      <c r="AB5" s="129"/>
      <c r="AC5" s="129"/>
      <c r="AD5" s="129"/>
      <c r="AE5" s="129"/>
      <c r="AF5" s="129"/>
      <c r="AG5" s="129"/>
    </row>
    <row r="6" spans="1:33" s="1" customFormat="1" ht="13.2" x14ac:dyDescent="0.25">
      <c r="A6" s="129"/>
      <c r="B6" s="129"/>
      <c r="C6" s="129"/>
      <c r="D6" s="129"/>
      <c r="E6" s="129"/>
      <c r="F6" s="4"/>
      <c r="G6" s="143" t="s">
        <v>106</v>
      </c>
      <c r="H6" s="198"/>
      <c r="I6" s="199" t="s">
        <v>102</v>
      </c>
      <c r="J6" s="199"/>
      <c r="K6" s="199" t="s">
        <v>102</v>
      </c>
      <c r="L6" s="199"/>
      <c r="M6" s="199" t="s">
        <v>102</v>
      </c>
      <c r="N6" s="203"/>
      <c r="O6" s="197" t="s">
        <v>107</v>
      </c>
      <c r="P6" s="141" t="s">
        <v>107</v>
      </c>
      <c r="Q6" s="141" t="s">
        <v>107</v>
      </c>
      <c r="R6" s="116"/>
      <c r="S6" s="116"/>
      <c r="T6" s="116"/>
      <c r="U6" s="129"/>
      <c r="V6" s="9"/>
      <c r="W6" s="129" t="s">
        <v>2</v>
      </c>
      <c r="X6" s="129"/>
      <c r="Y6" s="129"/>
      <c r="Z6" s="129"/>
      <c r="AA6" s="129"/>
      <c r="AB6" s="129"/>
      <c r="AC6" s="129"/>
      <c r="AD6" s="129"/>
      <c r="AE6" s="129"/>
      <c r="AF6" s="129"/>
      <c r="AG6" s="129"/>
    </row>
    <row r="7" spans="1:33" s="4" customFormat="1" ht="12.75" customHeight="1" x14ac:dyDescent="0.25">
      <c r="G7" s="142" t="s">
        <v>107</v>
      </c>
      <c r="H7" s="261"/>
      <c r="I7" s="201" t="s">
        <v>329</v>
      </c>
      <c r="J7" s="199"/>
      <c r="K7" s="201" t="s">
        <v>329</v>
      </c>
      <c r="L7" s="199"/>
      <c r="M7" s="201" t="s">
        <v>329</v>
      </c>
      <c r="N7" s="205"/>
      <c r="O7" s="201" t="s">
        <v>374</v>
      </c>
      <c r="P7" s="144" t="s">
        <v>374</v>
      </c>
      <c r="Q7" s="144" t="s">
        <v>374</v>
      </c>
      <c r="R7" s="7"/>
      <c r="S7" s="7"/>
      <c r="T7" s="7"/>
      <c r="V7" s="7" t="s">
        <v>108</v>
      </c>
      <c r="W7" s="129" t="s">
        <v>2</v>
      </c>
    </row>
    <row r="8" spans="1:33" s="1" customFormat="1" ht="17.25" customHeight="1" x14ac:dyDescent="0.25">
      <c r="A8" s="129"/>
      <c r="B8" s="145"/>
      <c r="C8" s="145"/>
      <c r="D8" s="145"/>
      <c r="E8" s="145"/>
      <c r="F8" s="145"/>
      <c r="G8" s="129"/>
      <c r="H8" s="4"/>
      <c r="I8" s="129"/>
      <c r="J8" s="129"/>
      <c r="K8" s="129"/>
      <c r="L8" s="129"/>
      <c r="M8" s="110"/>
      <c r="N8" s="110"/>
      <c r="O8" s="110"/>
      <c r="P8" s="110"/>
      <c r="Q8" s="110"/>
      <c r="R8" s="110"/>
      <c r="S8" s="110"/>
      <c r="T8" s="110"/>
      <c r="U8" s="110"/>
      <c r="V8" s="9"/>
      <c r="W8" s="129" t="s">
        <v>2</v>
      </c>
      <c r="X8" s="129"/>
      <c r="Y8" s="129"/>
      <c r="Z8" s="129"/>
      <c r="AA8" s="129"/>
      <c r="AB8" s="129"/>
      <c r="AC8" s="129"/>
      <c r="AD8" s="129"/>
      <c r="AE8" s="129"/>
      <c r="AF8" s="129"/>
      <c r="AG8" s="129"/>
    </row>
    <row r="9" spans="1:33" s="230" customFormat="1" ht="12.75" customHeight="1" x14ac:dyDescent="0.2">
      <c r="A9" s="226"/>
      <c r="B9" s="227" t="s">
        <v>15</v>
      </c>
      <c r="C9" s="228"/>
      <c r="D9" s="228"/>
      <c r="E9" s="228"/>
      <c r="F9" s="228"/>
      <c r="G9" s="228"/>
      <c r="H9" s="228"/>
      <c r="I9" s="228">
        <f>+O73</f>
        <v>280.17</v>
      </c>
      <c r="J9" s="228"/>
      <c r="K9" s="228">
        <f>+O77</f>
        <v>204.95</v>
      </c>
      <c r="L9" s="228"/>
      <c r="M9" s="228">
        <f>+EnrOld</f>
        <v>485.12</v>
      </c>
      <c r="N9" s="228"/>
      <c r="O9" s="228">
        <f>+EnrNew</f>
        <v>530</v>
      </c>
      <c r="P9" s="228">
        <f>+O74</f>
        <v>300</v>
      </c>
      <c r="Q9" s="228">
        <f>+O78</f>
        <v>230</v>
      </c>
      <c r="R9" s="229"/>
      <c r="S9" s="229"/>
      <c r="T9" s="229"/>
      <c r="U9" s="229"/>
      <c r="V9" s="253"/>
      <c r="W9" s="3" t="s">
        <v>2</v>
      </c>
    </row>
    <row r="10" spans="1:33" ht="12.75" customHeight="1" x14ac:dyDescent="0.25">
      <c r="A10" s="34"/>
      <c r="B10" s="146"/>
      <c r="C10" s="146"/>
      <c r="D10" s="146"/>
      <c r="E10" s="146"/>
      <c r="F10" s="34"/>
      <c r="G10" s="25"/>
      <c r="H10" s="34"/>
      <c r="I10" s="214"/>
      <c r="J10" s="214"/>
      <c r="K10" s="214"/>
      <c r="L10" s="214"/>
      <c r="M10" s="214"/>
      <c r="N10" s="154"/>
      <c r="O10" s="215"/>
      <c r="P10" s="215"/>
      <c r="Q10" s="215"/>
      <c r="R10" s="110"/>
      <c r="S10" s="110"/>
      <c r="T10" s="110"/>
      <c r="U10" s="110"/>
      <c r="V10" s="100"/>
      <c r="W10" s="129" t="s">
        <v>2</v>
      </c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</row>
    <row r="11" spans="1:33" ht="12.75" customHeight="1" x14ac:dyDescent="0.3">
      <c r="A11" s="34"/>
      <c r="B11" s="108">
        <v>100</v>
      </c>
      <c r="C11" s="108">
        <v>3300</v>
      </c>
      <c r="D11" s="108">
        <v>0</v>
      </c>
      <c r="E11" s="108">
        <v>0</v>
      </c>
      <c r="F11" s="108" t="s">
        <v>109</v>
      </c>
      <c r="G11" s="112">
        <v>2115074</v>
      </c>
      <c r="H11" s="110"/>
      <c r="I11" s="112">
        <v>1982296.0822375701</v>
      </c>
      <c r="J11" s="112"/>
      <c r="K11" s="112">
        <v>1363629</v>
      </c>
      <c r="L11" s="122"/>
      <c r="M11" s="112">
        <f t="shared" ref="M11:M59" si="0">+I11+K11</f>
        <v>3345925.0822375701</v>
      </c>
      <c r="N11" s="154"/>
      <c r="O11" s="112">
        <f>+P11+Q11</f>
        <v>3810468.875</v>
      </c>
      <c r="P11" s="112">
        <f>+O72-O71</f>
        <v>2221030.875</v>
      </c>
      <c r="Q11" s="112">
        <f>+O79-O81</f>
        <v>1589438</v>
      </c>
      <c r="R11" s="112">
        <f t="shared" ref="R11:R59" si="1">O11-P11-Q11</f>
        <v>0</v>
      </c>
      <c r="S11" s="167"/>
      <c r="T11" s="167"/>
      <c r="U11" s="110"/>
      <c r="V11" s="165" t="s">
        <v>436</v>
      </c>
      <c r="W11" s="134" t="str">
        <f>IF((O11+M11)&gt;0.49,"*","")</f>
        <v>*</v>
      </c>
      <c r="X11" s="108"/>
      <c r="Y11" s="108"/>
      <c r="Z11" s="108"/>
      <c r="AA11" s="212"/>
      <c r="AB11" s="212"/>
      <c r="AC11" s="212"/>
      <c r="AD11" s="212"/>
      <c r="AE11" s="210"/>
      <c r="AF11" s="211"/>
      <c r="AG11" s="211"/>
    </row>
    <row r="12" spans="1:33" ht="12.75" customHeight="1" x14ac:dyDescent="0.3">
      <c r="A12" s="34"/>
      <c r="B12" s="108">
        <v>100</v>
      </c>
      <c r="C12" s="108">
        <v>3305</v>
      </c>
      <c r="D12" s="108">
        <v>0</v>
      </c>
      <c r="E12" s="108">
        <v>0</v>
      </c>
      <c r="F12" s="108" t="s">
        <v>110</v>
      </c>
      <c r="G12" s="112">
        <v>22858</v>
      </c>
      <c r="H12" s="110"/>
      <c r="I12" s="112">
        <v>10730.917762429963</v>
      </c>
      <c r="J12" s="112"/>
      <c r="K12" s="112">
        <v>0</v>
      </c>
      <c r="L12" s="122"/>
      <c r="M12" s="112">
        <f t="shared" si="0"/>
        <v>10730.917762429963</v>
      </c>
      <c r="N12" s="154"/>
      <c r="O12" s="112">
        <f t="shared" ref="O12:O59" si="2">P12+Q12</f>
        <v>18664.125</v>
      </c>
      <c r="P12" s="112">
        <f>+O71</f>
        <v>18664.125</v>
      </c>
      <c r="Q12" s="112">
        <f>+O81</f>
        <v>0</v>
      </c>
      <c r="R12" s="112">
        <f t="shared" si="1"/>
        <v>0</v>
      </c>
      <c r="S12" s="167"/>
      <c r="T12" s="167"/>
      <c r="U12" s="110"/>
      <c r="V12" s="165" t="s">
        <v>436</v>
      </c>
      <c r="W12" s="134" t="str">
        <f t="shared" ref="W12:W59" si="3">IF((O12+M12)&gt;0.49,"*","")</f>
        <v>*</v>
      </c>
      <c r="X12" s="108"/>
      <c r="Y12" s="108"/>
      <c r="Z12" s="108"/>
      <c r="AA12" s="212"/>
      <c r="AB12" s="212"/>
      <c r="AC12" s="212"/>
      <c r="AD12" s="212"/>
      <c r="AE12" s="210"/>
      <c r="AF12" s="211"/>
      <c r="AG12" s="211"/>
    </row>
    <row r="13" spans="1:33" s="134" customFormat="1" ht="12.75" customHeight="1" x14ac:dyDescent="0.3">
      <c r="A13" s="34"/>
      <c r="B13" s="108">
        <v>100</v>
      </c>
      <c r="C13" s="108">
        <v>3190</v>
      </c>
      <c r="D13" s="108">
        <v>0</v>
      </c>
      <c r="E13" s="108">
        <v>0</v>
      </c>
      <c r="F13" s="108" t="s">
        <v>330</v>
      </c>
      <c r="G13" s="112">
        <v>0</v>
      </c>
      <c r="H13" s="110"/>
      <c r="I13" s="112">
        <v>0</v>
      </c>
      <c r="J13" s="112"/>
      <c r="K13" s="112">
        <v>4816.51</v>
      </c>
      <c r="L13" s="122"/>
      <c r="M13" s="112">
        <f t="shared" si="0"/>
        <v>4816.51</v>
      </c>
      <c r="N13" s="154"/>
      <c r="O13" s="112">
        <f t="shared" si="2"/>
        <v>0</v>
      </c>
      <c r="P13" s="112">
        <f>+I13</f>
        <v>0</v>
      </c>
      <c r="Q13" s="112">
        <v>0</v>
      </c>
      <c r="R13" s="112">
        <f t="shared" si="1"/>
        <v>0</v>
      </c>
      <c r="S13" s="167"/>
      <c r="T13" s="167"/>
      <c r="U13" s="110"/>
      <c r="V13" s="165" t="s">
        <v>32</v>
      </c>
      <c r="W13" s="134" t="str">
        <f t="shared" si="3"/>
        <v>*</v>
      </c>
      <c r="X13" s="108"/>
      <c r="Y13" s="108"/>
      <c r="Z13" s="108"/>
      <c r="AA13" s="212"/>
      <c r="AB13" s="212"/>
      <c r="AC13" s="212"/>
      <c r="AD13" s="212"/>
      <c r="AE13" s="210"/>
      <c r="AF13" s="211"/>
      <c r="AG13" s="211"/>
    </row>
    <row r="14" spans="1:33" s="34" customFormat="1" ht="12.75" hidden="1" customHeight="1" x14ac:dyDescent="0.3">
      <c r="B14" s="108">
        <v>100</v>
      </c>
      <c r="C14" s="108">
        <v>3230</v>
      </c>
      <c r="D14" s="108">
        <v>0</v>
      </c>
      <c r="E14" s="108">
        <v>0</v>
      </c>
      <c r="F14" s="108" t="s">
        <v>111</v>
      </c>
      <c r="G14" s="112">
        <v>0</v>
      </c>
      <c r="H14" s="110"/>
      <c r="I14" s="112">
        <v>0</v>
      </c>
      <c r="J14" s="112"/>
      <c r="K14" s="112"/>
      <c r="L14" s="112"/>
      <c r="M14" s="112">
        <f t="shared" si="0"/>
        <v>0</v>
      </c>
      <c r="N14" s="154"/>
      <c r="O14" s="112">
        <f t="shared" ref="O14" si="4">P14+Q14</f>
        <v>0</v>
      </c>
      <c r="P14" s="112">
        <f>+I14</f>
        <v>0</v>
      </c>
      <c r="Q14" s="112">
        <v>0</v>
      </c>
      <c r="R14" s="108">
        <f t="shared" ref="R14" si="5">O14-P14-Q14</f>
        <v>0</v>
      </c>
      <c r="S14" s="108"/>
      <c r="T14" s="108"/>
      <c r="U14" s="108"/>
      <c r="V14" s="216" t="s">
        <v>32</v>
      </c>
      <c r="W14" s="134" t="str">
        <f t="shared" si="3"/>
        <v/>
      </c>
      <c r="X14" s="108"/>
      <c r="Y14" s="108"/>
      <c r="Z14" s="108"/>
      <c r="AA14" s="212"/>
      <c r="AB14" s="212"/>
      <c r="AC14" s="212"/>
      <c r="AD14" s="212"/>
      <c r="AE14" s="210"/>
      <c r="AF14" s="211"/>
      <c r="AG14" s="211"/>
    </row>
    <row r="15" spans="1:33" ht="12.75" customHeight="1" x14ac:dyDescent="0.3">
      <c r="A15" s="108"/>
      <c r="B15" s="108">
        <v>100</v>
      </c>
      <c r="C15" s="108">
        <v>3334</v>
      </c>
      <c r="D15" s="108">
        <v>0</v>
      </c>
      <c r="E15" s="108">
        <v>0</v>
      </c>
      <c r="F15" s="108" t="s">
        <v>112</v>
      </c>
      <c r="G15" s="108">
        <v>0</v>
      </c>
      <c r="H15" s="108"/>
      <c r="I15" s="112">
        <v>4880</v>
      </c>
      <c r="J15" s="112"/>
      <c r="K15" s="112">
        <v>2135</v>
      </c>
      <c r="L15" s="112"/>
      <c r="M15" s="112">
        <f t="shared" si="0"/>
        <v>7015</v>
      </c>
      <c r="N15" s="112"/>
      <c r="O15" s="112">
        <f t="shared" si="2"/>
        <v>7621.3490967386824</v>
      </c>
      <c r="P15" s="112">
        <f>+I15/$O$73*$O$74</f>
        <v>5225.3988649748371</v>
      </c>
      <c r="Q15" s="112">
        <f>+K15/$O$77*$O$78</f>
        <v>2395.9502317638448</v>
      </c>
      <c r="R15" s="108">
        <f t="shared" si="1"/>
        <v>0</v>
      </c>
      <c r="S15" s="108"/>
      <c r="T15" s="108"/>
      <c r="U15" s="108"/>
      <c r="V15" s="216" t="s">
        <v>33</v>
      </c>
      <c r="W15" s="134" t="str">
        <f t="shared" si="3"/>
        <v>*</v>
      </c>
      <c r="X15" s="108"/>
      <c r="Y15" s="108"/>
      <c r="Z15" s="108"/>
      <c r="AA15" s="212"/>
      <c r="AB15" s="212"/>
      <c r="AC15" s="212"/>
      <c r="AD15" s="212"/>
      <c r="AE15" s="210"/>
      <c r="AF15" s="211"/>
      <c r="AG15" s="211"/>
    </row>
    <row r="16" spans="1:33" s="134" customFormat="1" ht="12.75" hidden="1" customHeight="1" x14ac:dyDescent="0.3">
      <c r="A16" s="108"/>
      <c r="B16" s="108">
        <v>100</v>
      </c>
      <c r="C16" s="108">
        <v>3371</v>
      </c>
      <c r="D16" s="108">
        <v>0</v>
      </c>
      <c r="E16" s="108">
        <v>0</v>
      </c>
      <c r="F16" s="108" t="s">
        <v>113</v>
      </c>
      <c r="G16" s="108">
        <v>0</v>
      </c>
      <c r="H16" s="108"/>
      <c r="I16" s="112">
        <v>0</v>
      </c>
      <c r="J16" s="112"/>
      <c r="K16" s="112">
        <v>0</v>
      </c>
      <c r="L16" s="112"/>
      <c r="M16" s="112">
        <f t="shared" si="0"/>
        <v>0</v>
      </c>
      <c r="N16" s="112"/>
      <c r="O16" s="112">
        <f t="shared" si="2"/>
        <v>0</v>
      </c>
      <c r="P16" s="112">
        <v>0</v>
      </c>
      <c r="Q16" s="112">
        <f t="shared" ref="Q16" si="6">+K16</f>
        <v>0</v>
      </c>
      <c r="R16" s="108">
        <f t="shared" si="1"/>
        <v>0</v>
      </c>
      <c r="S16" s="108"/>
      <c r="T16" s="108"/>
      <c r="U16" s="108"/>
      <c r="V16" s="216" t="s">
        <v>32</v>
      </c>
      <c r="W16" s="134" t="str">
        <f t="shared" si="3"/>
        <v/>
      </c>
      <c r="X16" s="108"/>
      <c r="Y16" s="108"/>
      <c r="Z16" s="108"/>
      <c r="AA16" s="212"/>
      <c r="AB16" s="212"/>
      <c r="AC16" s="212"/>
      <c r="AD16" s="212"/>
      <c r="AE16" s="210"/>
      <c r="AF16" s="211"/>
      <c r="AG16" s="209"/>
    </row>
    <row r="17" spans="1:23" s="108" customFormat="1" ht="12.75" customHeight="1" x14ac:dyDescent="0.25">
      <c r="B17" s="108">
        <v>100</v>
      </c>
      <c r="C17" s="108">
        <v>3390</v>
      </c>
      <c r="D17" s="108">
        <v>0</v>
      </c>
      <c r="E17" s="108">
        <v>0</v>
      </c>
      <c r="F17" s="108" t="s">
        <v>114</v>
      </c>
      <c r="G17" s="108">
        <v>0</v>
      </c>
      <c r="I17" s="112">
        <v>5705.37</v>
      </c>
      <c r="J17" s="112"/>
      <c r="K17" s="112">
        <v>594.63</v>
      </c>
      <c r="L17" s="112"/>
      <c r="M17" s="112">
        <f t="shared" si="0"/>
        <v>6300</v>
      </c>
      <c r="N17" s="112"/>
      <c r="O17" s="112">
        <f t="shared" si="2"/>
        <v>0</v>
      </c>
      <c r="P17" s="112">
        <v>0</v>
      </c>
      <c r="Q17" s="112">
        <v>0</v>
      </c>
      <c r="R17" s="108">
        <f t="shared" si="1"/>
        <v>0</v>
      </c>
      <c r="V17" s="216" t="s">
        <v>32</v>
      </c>
      <c r="W17" s="134" t="str">
        <f t="shared" si="3"/>
        <v>*</v>
      </c>
    </row>
    <row r="18" spans="1:23" s="108" customFormat="1" ht="12.75" customHeight="1" x14ac:dyDescent="0.25">
      <c r="B18" s="108">
        <v>100</v>
      </c>
      <c r="C18" s="108">
        <v>3440</v>
      </c>
      <c r="D18" s="108">
        <v>0</v>
      </c>
      <c r="E18" s="108">
        <v>0</v>
      </c>
      <c r="F18" s="108" t="s">
        <v>404</v>
      </c>
      <c r="G18" s="108">
        <v>0</v>
      </c>
      <c r="I18" s="112">
        <v>0</v>
      </c>
      <c r="J18" s="112"/>
      <c r="K18" s="112">
        <f>1770+479</f>
        <v>2249</v>
      </c>
      <c r="L18" s="112"/>
      <c r="M18" s="112">
        <f t="shared" si="0"/>
        <v>2249</v>
      </c>
      <c r="N18" s="112"/>
      <c r="O18" s="112">
        <f t="shared" ref="O18:O19" si="7">P18+Q18</f>
        <v>0</v>
      </c>
      <c r="P18" s="112">
        <v>0</v>
      </c>
      <c r="Q18" s="112">
        <v>0</v>
      </c>
      <c r="R18" s="108">
        <f t="shared" ref="R18:R19" si="8">O18-P18-Q18</f>
        <v>0</v>
      </c>
      <c r="V18" s="216" t="s">
        <v>32</v>
      </c>
      <c r="W18" s="134" t="str">
        <f t="shared" si="3"/>
        <v>*</v>
      </c>
    </row>
    <row r="19" spans="1:23" s="108" customFormat="1" ht="12.75" customHeight="1" x14ac:dyDescent="0.25">
      <c r="B19" s="108">
        <v>100</v>
      </c>
      <c r="C19" s="108">
        <v>3442</v>
      </c>
      <c r="D19" s="108">
        <v>0</v>
      </c>
      <c r="E19" s="108">
        <v>0</v>
      </c>
      <c r="F19" s="108" t="s">
        <v>403</v>
      </c>
      <c r="G19" s="108">
        <v>0</v>
      </c>
      <c r="I19" s="112">
        <v>0</v>
      </c>
      <c r="J19" s="112"/>
      <c r="K19" s="112">
        <v>2373.54</v>
      </c>
      <c r="L19" s="112"/>
      <c r="M19" s="112">
        <f t="shared" ref="M19" si="9">+I19+K19</f>
        <v>2373.54</v>
      </c>
      <c r="N19" s="112"/>
      <c r="O19" s="112">
        <f t="shared" si="7"/>
        <v>14244</v>
      </c>
      <c r="P19" s="112">
        <v>0</v>
      </c>
      <c r="Q19" s="112">
        <f>1187*12</f>
        <v>14244</v>
      </c>
      <c r="R19" s="108">
        <f t="shared" si="8"/>
        <v>0</v>
      </c>
      <c r="V19" s="216" t="s">
        <v>407</v>
      </c>
      <c r="W19" s="134" t="str">
        <f t="shared" ref="W19" si="10">IF((O19+M19)&gt;0.49,"*","")</f>
        <v>*</v>
      </c>
    </row>
    <row r="20" spans="1:23" s="108" customFormat="1" ht="12.75" hidden="1" customHeight="1" x14ac:dyDescent="0.25">
      <c r="B20" s="108">
        <v>100</v>
      </c>
      <c r="C20" s="108">
        <v>3471</v>
      </c>
      <c r="D20" s="108">
        <v>0</v>
      </c>
      <c r="E20" s="108">
        <v>0</v>
      </c>
      <c r="F20" s="108" t="s">
        <v>115</v>
      </c>
      <c r="G20" s="108">
        <v>0</v>
      </c>
      <c r="I20" s="112">
        <v>0</v>
      </c>
      <c r="J20" s="112"/>
      <c r="K20" s="112">
        <v>0</v>
      </c>
      <c r="L20" s="112"/>
      <c r="M20" s="112">
        <f t="shared" si="0"/>
        <v>0</v>
      </c>
      <c r="N20" s="112"/>
      <c r="O20" s="112">
        <f t="shared" ref="O20" si="11">P20+Q20</f>
        <v>0</v>
      </c>
      <c r="P20" s="112">
        <f>+I20/$O$73*$O$74</f>
        <v>0</v>
      </c>
      <c r="Q20" s="112">
        <f>+K20/$O$77*$O$78</f>
        <v>0</v>
      </c>
      <c r="R20" s="108">
        <f t="shared" ref="R20" si="12">O20-P20-Q20</f>
        <v>0</v>
      </c>
      <c r="V20" s="216" t="s">
        <v>33</v>
      </c>
      <c r="W20" s="134" t="str">
        <f t="shared" si="3"/>
        <v/>
      </c>
    </row>
    <row r="21" spans="1:23" s="108" customFormat="1" ht="12.75" hidden="1" customHeight="1" x14ac:dyDescent="0.25">
      <c r="B21" s="108">
        <v>100</v>
      </c>
      <c r="C21" s="108">
        <v>3472</v>
      </c>
      <c r="D21" s="108">
        <v>0</v>
      </c>
      <c r="E21" s="108">
        <v>0</v>
      </c>
      <c r="F21" s="108" t="s">
        <v>116</v>
      </c>
      <c r="G21" s="108">
        <v>72000</v>
      </c>
      <c r="I21" s="112">
        <v>0</v>
      </c>
      <c r="J21" s="112"/>
      <c r="K21" s="112"/>
      <c r="L21" s="112"/>
      <c r="M21" s="112">
        <f t="shared" si="0"/>
        <v>0</v>
      </c>
      <c r="N21" s="112"/>
      <c r="O21" s="112">
        <f t="shared" ref="O21:O23" si="13">P21+Q21</f>
        <v>0</v>
      </c>
      <c r="P21" s="112">
        <v>0</v>
      </c>
      <c r="Q21" s="112">
        <f t="shared" ref="Q21" si="14">+K21</f>
        <v>0</v>
      </c>
      <c r="R21" s="108">
        <f t="shared" ref="R21:R23" si="15">O21-P21-Q21</f>
        <v>0</v>
      </c>
      <c r="V21" s="216" t="s">
        <v>32</v>
      </c>
      <c r="W21" s="134" t="str">
        <f t="shared" si="3"/>
        <v/>
      </c>
    </row>
    <row r="22" spans="1:23" s="108" customFormat="1" ht="12.75" hidden="1" customHeight="1" x14ac:dyDescent="0.25">
      <c r="B22" s="36">
        <v>100</v>
      </c>
      <c r="C22" s="36">
        <v>3472</v>
      </c>
      <c r="D22" s="36">
        <v>0</v>
      </c>
      <c r="E22" s="36">
        <v>0</v>
      </c>
      <c r="F22" s="108" t="s">
        <v>117</v>
      </c>
      <c r="G22" s="108">
        <v>0</v>
      </c>
      <c r="I22" s="112">
        <v>0</v>
      </c>
      <c r="J22" s="112"/>
      <c r="K22" s="112"/>
      <c r="L22" s="112"/>
      <c r="M22" s="112">
        <f t="shared" si="0"/>
        <v>0</v>
      </c>
      <c r="N22" s="112"/>
      <c r="O22" s="112">
        <f t="shared" si="13"/>
        <v>0</v>
      </c>
      <c r="P22" s="112">
        <f>+I22/$O$73*$O$74</f>
        <v>0</v>
      </c>
      <c r="Q22" s="112">
        <f>+K22/$O$77*$O$78</f>
        <v>0</v>
      </c>
      <c r="R22" s="108">
        <f t="shared" si="15"/>
        <v>0</v>
      </c>
      <c r="V22" s="216" t="s">
        <v>33</v>
      </c>
      <c r="W22" s="134" t="str">
        <f t="shared" si="3"/>
        <v/>
      </c>
    </row>
    <row r="23" spans="1:23" s="108" customFormat="1" ht="12.75" hidden="1" customHeight="1" x14ac:dyDescent="0.25">
      <c r="B23" s="36">
        <v>100</v>
      </c>
      <c r="C23" s="36">
        <v>3472</v>
      </c>
      <c r="D23" s="36">
        <v>0</v>
      </c>
      <c r="E23" s="36">
        <v>0</v>
      </c>
      <c r="F23" s="108" t="s">
        <v>118</v>
      </c>
      <c r="I23" s="112">
        <v>0</v>
      </c>
      <c r="J23" s="112"/>
      <c r="K23" s="112">
        <v>0</v>
      </c>
      <c r="L23" s="112"/>
      <c r="M23" s="112">
        <f t="shared" si="0"/>
        <v>0</v>
      </c>
      <c r="N23" s="112"/>
      <c r="O23" s="112">
        <f t="shared" si="13"/>
        <v>0</v>
      </c>
      <c r="P23" s="112">
        <f>+I23/$O$73*$O$74</f>
        <v>0</v>
      </c>
      <c r="Q23" s="112">
        <f>+K23/$O$77*$O$78</f>
        <v>0</v>
      </c>
      <c r="R23" s="108">
        <f t="shared" si="15"/>
        <v>0</v>
      </c>
      <c r="V23" s="216" t="s">
        <v>33</v>
      </c>
      <c r="W23" s="134" t="str">
        <f t="shared" si="3"/>
        <v/>
      </c>
    </row>
    <row r="24" spans="1:23" s="108" customFormat="1" ht="12.75" customHeight="1" x14ac:dyDescent="0.25">
      <c r="B24" s="108">
        <v>100</v>
      </c>
      <c r="C24" s="108">
        <v>3473</v>
      </c>
      <c r="D24" s="108">
        <v>0</v>
      </c>
      <c r="E24" s="108">
        <v>0</v>
      </c>
      <c r="F24" s="108" t="s">
        <v>119</v>
      </c>
      <c r="G24" s="108">
        <v>0</v>
      </c>
      <c r="I24" s="112">
        <v>605.54999999999995</v>
      </c>
      <c r="J24" s="112"/>
      <c r="K24" s="112">
        <v>6923.13</v>
      </c>
      <c r="L24" s="112"/>
      <c r="M24" s="112">
        <f t="shared" si="0"/>
        <v>7528.68</v>
      </c>
      <c r="N24" s="112"/>
      <c r="O24" s="112">
        <f t="shared" si="2"/>
        <v>0</v>
      </c>
      <c r="P24" s="112">
        <v>0</v>
      </c>
      <c r="Q24" s="112">
        <v>0</v>
      </c>
      <c r="R24" s="108">
        <f t="shared" si="1"/>
        <v>0</v>
      </c>
      <c r="V24" s="216" t="s">
        <v>32</v>
      </c>
      <c r="W24" s="134" t="str">
        <f t="shared" si="3"/>
        <v>*</v>
      </c>
    </row>
    <row r="25" spans="1:23" s="108" customFormat="1" ht="12.75" customHeight="1" x14ac:dyDescent="0.25">
      <c r="B25" s="36">
        <v>100</v>
      </c>
      <c r="C25" s="36">
        <v>3474</v>
      </c>
      <c r="D25" s="36">
        <v>0</v>
      </c>
      <c r="E25" s="36">
        <v>0</v>
      </c>
      <c r="F25" s="36" t="s">
        <v>120</v>
      </c>
      <c r="G25" s="108">
        <v>100170</v>
      </c>
      <c r="I25" s="112">
        <v>0</v>
      </c>
      <c r="J25" s="112"/>
      <c r="K25" s="112">
        <v>4173.8500000000004</v>
      </c>
      <c r="L25" s="112"/>
      <c r="M25" s="112">
        <f t="shared" si="0"/>
        <v>4173.8500000000004</v>
      </c>
      <c r="N25" s="112"/>
      <c r="O25" s="112">
        <f>P25+Q25</f>
        <v>4683.9985362283487</v>
      </c>
      <c r="P25" s="112">
        <f>+I25/$O$73*$O$74</f>
        <v>0</v>
      </c>
      <c r="Q25" s="112">
        <f>+K25/$O$77*$O$78</f>
        <v>4683.9985362283487</v>
      </c>
      <c r="R25" s="108">
        <f t="shared" ref="R25:R26" si="16">O25-P25-Q25</f>
        <v>0</v>
      </c>
      <c r="V25" s="216" t="s">
        <v>33</v>
      </c>
      <c r="W25" s="134" t="str">
        <f t="shared" si="3"/>
        <v>*</v>
      </c>
    </row>
    <row r="26" spans="1:23" s="108" customFormat="1" ht="12.75" customHeight="1" x14ac:dyDescent="0.25">
      <c r="B26" s="36">
        <v>100</v>
      </c>
      <c r="C26" s="36">
        <v>3475</v>
      </c>
      <c r="D26" s="36">
        <v>0</v>
      </c>
      <c r="E26" s="36">
        <v>0</v>
      </c>
      <c r="F26" s="36" t="s">
        <v>121</v>
      </c>
      <c r="G26" s="108">
        <v>0</v>
      </c>
      <c r="I26" s="112">
        <v>1898</v>
      </c>
      <c r="J26" s="112"/>
      <c r="K26" s="112">
        <f>3166.7+2100</f>
        <v>5266.7</v>
      </c>
      <c r="L26" s="112"/>
      <c r="M26" s="112">
        <f t="shared" si="0"/>
        <v>7164.7</v>
      </c>
      <c r="N26" s="112"/>
      <c r="O26" s="112">
        <f t="shared" ref="O26" si="17">P26+Q26</f>
        <v>7942.7595635288626</v>
      </c>
      <c r="P26" s="112">
        <f>+I26/$O$73*$O$74</f>
        <v>2032.3375093693114</v>
      </c>
      <c r="Q26" s="112">
        <f>+K26/$O$77*$O$78</f>
        <v>5910.4220541595514</v>
      </c>
      <c r="R26" s="108">
        <f t="shared" si="16"/>
        <v>0</v>
      </c>
      <c r="V26" s="216" t="s">
        <v>33</v>
      </c>
      <c r="W26" s="134" t="str">
        <f t="shared" si="3"/>
        <v>*</v>
      </c>
    </row>
    <row r="27" spans="1:23" s="108" customFormat="1" ht="12.75" hidden="1" customHeight="1" x14ac:dyDescent="0.25">
      <c r="B27" s="36">
        <v>100</v>
      </c>
      <c r="C27" s="36">
        <v>3476</v>
      </c>
      <c r="D27" s="36">
        <v>0</v>
      </c>
      <c r="E27" s="36">
        <v>0</v>
      </c>
      <c r="F27" s="36" t="s">
        <v>122</v>
      </c>
      <c r="G27" s="108">
        <v>0</v>
      </c>
      <c r="I27" s="112">
        <v>0</v>
      </c>
      <c r="J27" s="112"/>
      <c r="K27" s="112">
        <v>0</v>
      </c>
      <c r="L27" s="112"/>
      <c r="M27" s="112">
        <f t="shared" si="0"/>
        <v>0</v>
      </c>
      <c r="N27" s="112"/>
      <c r="O27" s="112">
        <f t="shared" si="2"/>
        <v>0</v>
      </c>
      <c r="P27" s="112">
        <f t="shared" ref="P27:P34" si="18">+I27</f>
        <v>0</v>
      </c>
      <c r="Q27" s="112">
        <f t="shared" ref="Q27:Q34" si="19">+K27</f>
        <v>0</v>
      </c>
      <c r="R27" s="108">
        <f t="shared" si="1"/>
        <v>0</v>
      </c>
      <c r="V27" s="216" t="s">
        <v>34</v>
      </c>
      <c r="W27" s="134" t="str">
        <f t="shared" si="3"/>
        <v/>
      </c>
    </row>
    <row r="28" spans="1:23" s="108" customFormat="1" ht="12.75" customHeight="1" x14ac:dyDescent="0.25">
      <c r="A28" s="134"/>
      <c r="B28" s="36">
        <v>100</v>
      </c>
      <c r="C28" s="36">
        <v>3478</v>
      </c>
      <c r="D28" s="36">
        <v>0</v>
      </c>
      <c r="E28" s="36">
        <v>0</v>
      </c>
      <c r="F28" s="36" t="s">
        <v>123</v>
      </c>
      <c r="G28" s="112">
        <v>0</v>
      </c>
      <c r="H28" s="129"/>
      <c r="I28" s="112">
        <v>0</v>
      </c>
      <c r="J28" s="122"/>
      <c r="K28" s="112">
        <v>24185.23</v>
      </c>
      <c r="L28" s="122"/>
      <c r="M28" s="112">
        <f t="shared" si="0"/>
        <v>24185.23</v>
      </c>
      <c r="N28" s="154"/>
      <c r="O28" s="112">
        <f t="shared" si="2"/>
        <v>24185.23</v>
      </c>
      <c r="P28" s="112">
        <f t="shared" si="18"/>
        <v>0</v>
      </c>
      <c r="Q28" s="112">
        <f t="shared" si="19"/>
        <v>24185.23</v>
      </c>
      <c r="R28" s="108">
        <f t="shared" si="1"/>
        <v>0</v>
      </c>
      <c r="V28" s="216" t="s">
        <v>34</v>
      </c>
      <c r="W28" s="134" t="str">
        <f t="shared" si="3"/>
        <v>*</v>
      </c>
    </row>
    <row r="29" spans="1:23" s="108" customFormat="1" ht="12.75" hidden="1" customHeight="1" x14ac:dyDescent="0.25">
      <c r="A29" s="134"/>
      <c r="B29" s="36">
        <v>100</v>
      </c>
      <c r="C29" s="36">
        <v>3479</v>
      </c>
      <c r="D29" s="36">
        <v>0</v>
      </c>
      <c r="E29" s="36">
        <v>0</v>
      </c>
      <c r="F29" s="36" t="s">
        <v>124</v>
      </c>
      <c r="G29" s="112">
        <v>0</v>
      </c>
      <c r="H29" s="129"/>
      <c r="I29" s="112">
        <v>0</v>
      </c>
      <c r="J29" s="122"/>
      <c r="K29" s="112">
        <v>0</v>
      </c>
      <c r="L29" s="122"/>
      <c r="M29" s="112">
        <f t="shared" si="0"/>
        <v>0</v>
      </c>
      <c r="N29" s="154"/>
      <c r="O29" s="112">
        <f t="shared" si="2"/>
        <v>0</v>
      </c>
      <c r="P29" s="112">
        <f t="shared" si="18"/>
        <v>0</v>
      </c>
      <c r="Q29" s="112">
        <f t="shared" si="19"/>
        <v>0</v>
      </c>
      <c r="R29" s="108">
        <f t="shared" si="1"/>
        <v>0</v>
      </c>
      <c r="V29" s="216" t="s">
        <v>34</v>
      </c>
      <c r="W29" s="134" t="str">
        <f t="shared" si="3"/>
        <v/>
      </c>
    </row>
    <row r="30" spans="1:23" s="108" customFormat="1" ht="13.5" customHeight="1" x14ac:dyDescent="0.25">
      <c r="A30" s="134"/>
      <c r="B30" s="36">
        <v>100</v>
      </c>
      <c r="C30" s="36">
        <v>3480</v>
      </c>
      <c r="D30" s="36">
        <v>0</v>
      </c>
      <c r="E30" s="36">
        <v>0</v>
      </c>
      <c r="F30" s="36" t="s">
        <v>125</v>
      </c>
      <c r="G30" s="122">
        <v>0</v>
      </c>
      <c r="H30" s="129"/>
      <c r="I30" s="122">
        <v>0</v>
      </c>
      <c r="J30" s="122"/>
      <c r="K30" s="122">
        <v>21654.48</v>
      </c>
      <c r="L30" s="122"/>
      <c r="M30" s="112">
        <f t="shared" si="0"/>
        <v>21654.48</v>
      </c>
      <c r="N30" s="154"/>
      <c r="O30" s="112">
        <f t="shared" si="2"/>
        <v>21654.48</v>
      </c>
      <c r="P30" s="112">
        <f t="shared" si="18"/>
        <v>0</v>
      </c>
      <c r="Q30" s="112">
        <f t="shared" si="19"/>
        <v>21654.48</v>
      </c>
      <c r="R30" s="108">
        <f t="shared" si="1"/>
        <v>0</v>
      </c>
      <c r="V30" s="216" t="s">
        <v>34</v>
      </c>
      <c r="W30" s="134" t="str">
        <f t="shared" si="3"/>
        <v>*</v>
      </c>
    </row>
    <row r="31" spans="1:23" s="108" customFormat="1" ht="12.75" hidden="1" customHeight="1" x14ac:dyDescent="0.25">
      <c r="A31" s="134"/>
      <c r="B31" s="36">
        <v>100</v>
      </c>
      <c r="C31" s="36">
        <v>3480</v>
      </c>
      <c r="D31" s="36">
        <v>0</v>
      </c>
      <c r="E31" s="36">
        <v>0</v>
      </c>
      <c r="F31" s="36" t="s">
        <v>126</v>
      </c>
      <c r="G31" s="122"/>
      <c r="H31" s="129"/>
      <c r="I31" s="122">
        <v>0</v>
      </c>
      <c r="J31" s="122"/>
      <c r="K31" s="122">
        <v>0</v>
      </c>
      <c r="L31" s="122"/>
      <c r="M31" s="112">
        <f t="shared" si="0"/>
        <v>0</v>
      </c>
      <c r="N31" s="154"/>
      <c r="O31" s="112">
        <f t="shared" si="2"/>
        <v>0</v>
      </c>
      <c r="P31" s="112">
        <f t="shared" si="18"/>
        <v>0</v>
      </c>
      <c r="Q31" s="112">
        <v>0</v>
      </c>
      <c r="R31" s="108">
        <f t="shared" si="1"/>
        <v>0</v>
      </c>
      <c r="V31" s="216" t="s">
        <v>32</v>
      </c>
      <c r="W31" s="134" t="str">
        <f t="shared" si="3"/>
        <v/>
      </c>
    </row>
    <row r="32" spans="1:23" s="108" customFormat="1" ht="12.75" hidden="1" customHeight="1" x14ac:dyDescent="0.25">
      <c r="A32" s="134"/>
      <c r="B32" s="36">
        <v>100</v>
      </c>
      <c r="C32" s="36">
        <v>3481</v>
      </c>
      <c r="D32" s="36">
        <v>0</v>
      </c>
      <c r="E32" s="36">
        <v>0</v>
      </c>
      <c r="F32" s="36" t="s">
        <v>127</v>
      </c>
      <c r="G32" s="122">
        <v>0</v>
      </c>
      <c r="H32" s="129"/>
      <c r="I32" s="122">
        <v>0</v>
      </c>
      <c r="J32" s="122"/>
      <c r="K32" s="122">
        <v>0</v>
      </c>
      <c r="L32" s="122"/>
      <c r="M32" s="112">
        <f t="shared" si="0"/>
        <v>0</v>
      </c>
      <c r="N32" s="136"/>
      <c r="O32" s="112">
        <f t="shared" si="2"/>
        <v>0</v>
      </c>
      <c r="P32" s="112">
        <f t="shared" si="18"/>
        <v>0</v>
      </c>
      <c r="Q32" s="112">
        <f t="shared" si="19"/>
        <v>0</v>
      </c>
      <c r="R32" s="108">
        <f t="shared" si="1"/>
        <v>0</v>
      </c>
      <c r="V32" s="216" t="s">
        <v>34</v>
      </c>
      <c r="W32" s="134" t="str">
        <f t="shared" si="3"/>
        <v/>
      </c>
    </row>
    <row r="33" spans="1:33" s="108" customFormat="1" ht="12.75" hidden="1" customHeight="1" x14ac:dyDescent="0.25">
      <c r="A33" s="134"/>
      <c r="B33" s="36">
        <v>100</v>
      </c>
      <c r="C33" s="36">
        <v>3481</v>
      </c>
      <c r="D33" s="36">
        <v>0</v>
      </c>
      <c r="E33" s="36">
        <v>0</v>
      </c>
      <c r="F33" s="36" t="s">
        <v>125</v>
      </c>
      <c r="G33" s="36">
        <v>8215.9599999999991</v>
      </c>
      <c r="H33" s="36"/>
      <c r="I33" s="122">
        <v>0</v>
      </c>
      <c r="J33" s="122"/>
      <c r="K33" s="122">
        <v>0</v>
      </c>
      <c r="L33" s="122"/>
      <c r="M33" s="112">
        <f t="shared" si="0"/>
        <v>0</v>
      </c>
      <c r="N33" s="136"/>
      <c r="O33" s="112">
        <f t="shared" si="2"/>
        <v>0</v>
      </c>
      <c r="P33" s="112">
        <f t="shared" si="18"/>
        <v>0</v>
      </c>
      <c r="Q33" s="112">
        <f t="shared" si="19"/>
        <v>0</v>
      </c>
      <c r="R33" s="108">
        <f t="shared" si="1"/>
        <v>0</v>
      </c>
      <c r="V33" s="216" t="s">
        <v>34</v>
      </c>
      <c r="W33" s="134" t="str">
        <f t="shared" si="3"/>
        <v/>
      </c>
    </row>
    <row r="34" spans="1:33" s="108" customFormat="1" ht="12.75" hidden="1" customHeight="1" x14ac:dyDescent="0.25">
      <c r="A34" s="113"/>
      <c r="B34" s="36">
        <v>100</v>
      </c>
      <c r="C34" s="36">
        <v>3482</v>
      </c>
      <c r="D34" s="36">
        <v>0</v>
      </c>
      <c r="E34" s="36">
        <v>0</v>
      </c>
      <c r="F34" s="36" t="s">
        <v>128</v>
      </c>
      <c r="G34" s="36">
        <v>0</v>
      </c>
      <c r="H34" s="36"/>
      <c r="I34" s="122">
        <v>0</v>
      </c>
      <c r="J34" s="122"/>
      <c r="K34" s="122">
        <v>0</v>
      </c>
      <c r="L34" s="122"/>
      <c r="M34" s="112">
        <f t="shared" si="0"/>
        <v>0</v>
      </c>
      <c r="N34" s="136"/>
      <c r="O34" s="112">
        <f t="shared" si="2"/>
        <v>0</v>
      </c>
      <c r="P34" s="112">
        <f t="shared" si="18"/>
        <v>0</v>
      </c>
      <c r="Q34" s="112">
        <f t="shared" si="19"/>
        <v>0</v>
      </c>
      <c r="R34" s="108">
        <f t="shared" si="1"/>
        <v>0</v>
      </c>
      <c r="V34" s="216" t="s">
        <v>34</v>
      </c>
      <c r="W34" s="134" t="str">
        <f t="shared" si="3"/>
        <v/>
      </c>
    </row>
    <row r="35" spans="1:33" s="108" customFormat="1" ht="12.75" customHeight="1" x14ac:dyDescent="0.25">
      <c r="A35" s="113"/>
      <c r="B35" s="36">
        <v>100</v>
      </c>
      <c r="C35" s="36">
        <v>3483</v>
      </c>
      <c r="D35" s="36">
        <v>0</v>
      </c>
      <c r="E35" s="36">
        <v>0</v>
      </c>
      <c r="F35" s="36" t="s">
        <v>129</v>
      </c>
      <c r="G35" s="36"/>
      <c r="H35" s="36"/>
      <c r="I35" s="122">
        <v>97072.545000000013</v>
      </c>
      <c r="J35" s="122"/>
      <c r="K35" s="122">
        <v>0</v>
      </c>
      <c r="L35" s="122"/>
      <c r="M35" s="112">
        <f t="shared" si="0"/>
        <v>97072.545000000013</v>
      </c>
      <c r="N35" s="136"/>
      <c r="O35" s="112">
        <f t="shared" si="2"/>
        <v>103943.18984902024</v>
      </c>
      <c r="P35" s="112">
        <f>+I35/$O$73*$O$74</f>
        <v>103943.18984902024</v>
      </c>
      <c r="Q35" s="112">
        <v>0</v>
      </c>
      <c r="R35" s="108">
        <f t="shared" si="1"/>
        <v>0</v>
      </c>
      <c r="V35" s="216" t="s">
        <v>33</v>
      </c>
      <c r="W35" s="134" t="str">
        <f t="shared" si="3"/>
        <v>*</v>
      </c>
    </row>
    <row r="36" spans="1:33" s="108" customFormat="1" ht="12.75" customHeight="1" x14ac:dyDescent="0.25">
      <c r="A36" s="113"/>
      <c r="B36" s="36">
        <v>100</v>
      </c>
      <c r="C36" s="36">
        <v>3484</v>
      </c>
      <c r="D36" s="36">
        <v>0</v>
      </c>
      <c r="E36" s="36">
        <v>0</v>
      </c>
      <c r="F36" s="36" t="s">
        <v>130</v>
      </c>
      <c r="G36" s="36">
        <v>0</v>
      </c>
      <c r="H36" s="36"/>
      <c r="I36" s="122">
        <v>0</v>
      </c>
      <c r="J36" s="122"/>
      <c r="K36" s="122">
        <v>980</v>
      </c>
      <c r="L36" s="122"/>
      <c r="M36" s="112">
        <f t="shared" si="0"/>
        <v>980</v>
      </c>
      <c r="N36" s="136"/>
      <c r="O36" s="112">
        <f>P36+Q36</f>
        <v>980</v>
      </c>
      <c r="P36" s="112">
        <f>+I36</f>
        <v>0</v>
      </c>
      <c r="Q36" s="112">
        <f>+K36</f>
        <v>980</v>
      </c>
      <c r="R36" s="108">
        <f t="shared" si="1"/>
        <v>0</v>
      </c>
      <c r="V36" s="216" t="s">
        <v>34</v>
      </c>
      <c r="W36" s="134" t="str">
        <f t="shared" si="3"/>
        <v>*</v>
      </c>
    </row>
    <row r="37" spans="1:33" ht="12.75" hidden="1" customHeight="1" x14ac:dyDescent="0.3">
      <c r="A37" s="34"/>
      <c r="B37" s="36">
        <v>100</v>
      </c>
      <c r="C37" s="36">
        <v>3490</v>
      </c>
      <c r="D37" s="36">
        <v>0</v>
      </c>
      <c r="E37" s="36">
        <v>0</v>
      </c>
      <c r="F37" s="36" t="s">
        <v>131</v>
      </c>
      <c r="G37" s="36">
        <v>0</v>
      </c>
      <c r="H37" s="36"/>
      <c r="I37" s="122">
        <v>0</v>
      </c>
      <c r="J37" s="122"/>
      <c r="K37" s="122">
        <v>0</v>
      </c>
      <c r="L37" s="122"/>
      <c r="M37" s="112">
        <f t="shared" si="0"/>
        <v>0</v>
      </c>
      <c r="N37" s="136"/>
      <c r="O37" s="112">
        <f t="shared" si="2"/>
        <v>0</v>
      </c>
      <c r="P37" s="112">
        <f>+I37/$O$73*$O$74</f>
        <v>0</v>
      </c>
      <c r="Q37" s="112">
        <f>+K37/$O$77*$O$78</f>
        <v>0</v>
      </c>
      <c r="R37" s="108">
        <f t="shared" si="1"/>
        <v>0</v>
      </c>
      <c r="S37" s="108"/>
      <c r="T37" s="108"/>
      <c r="U37" s="108"/>
      <c r="V37" s="216" t="s">
        <v>33</v>
      </c>
      <c r="W37" s="134" t="str">
        <f t="shared" si="3"/>
        <v/>
      </c>
      <c r="X37" s="108"/>
      <c r="Y37" s="108"/>
      <c r="Z37" s="108"/>
      <c r="AA37" s="213"/>
      <c r="AB37" s="213"/>
      <c r="AC37" s="213"/>
      <c r="AD37" s="213"/>
      <c r="AE37" s="208"/>
      <c r="AF37" s="209"/>
      <c r="AG37" s="209"/>
    </row>
    <row r="38" spans="1:33" s="134" customFormat="1" ht="12.75" customHeight="1" x14ac:dyDescent="0.3">
      <c r="B38" s="36">
        <v>100</v>
      </c>
      <c r="C38" s="36">
        <v>3497</v>
      </c>
      <c r="D38" s="36">
        <v>0</v>
      </c>
      <c r="E38" s="36">
        <v>0</v>
      </c>
      <c r="F38" s="36" t="s">
        <v>402</v>
      </c>
      <c r="G38" s="122">
        <v>0</v>
      </c>
      <c r="H38" s="129"/>
      <c r="I38" s="122">
        <v>3186.03</v>
      </c>
      <c r="J38" s="122"/>
      <c r="K38" s="122">
        <v>30137.040000000001</v>
      </c>
      <c r="L38" s="122"/>
      <c r="M38" s="112">
        <f t="shared" ref="M38" si="20">+I38+K38</f>
        <v>33323.07</v>
      </c>
      <c r="N38" s="136"/>
      <c r="O38" s="112">
        <f t="shared" ref="O38" si="21">P38+Q38</f>
        <v>0</v>
      </c>
      <c r="P38" s="112">
        <v>0</v>
      </c>
      <c r="Q38" s="112">
        <v>0</v>
      </c>
      <c r="R38" s="112">
        <f t="shared" ref="R38" si="22">O38-P38-Q38</f>
        <v>0</v>
      </c>
      <c r="S38" s="167"/>
      <c r="T38" s="167"/>
      <c r="U38" s="110"/>
      <c r="V38" s="165" t="s">
        <v>32</v>
      </c>
      <c r="W38" s="134" t="str">
        <f t="shared" ref="W38" si="23">IF((O38+M38)&gt;0.49,"*","")</f>
        <v>*</v>
      </c>
      <c r="X38" s="108"/>
      <c r="Y38" s="108"/>
      <c r="Z38" s="108"/>
      <c r="AA38" s="213"/>
      <c r="AB38" s="213"/>
      <c r="AC38" s="213"/>
      <c r="AD38" s="213"/>
      <c r="AE38" s="208"/>
      <c r="AF38" s="209"/>
    </row>
    <row r="39" spans="1:33" ht="12.75" customHeight="1" x14ac:dyDescent="0.3">
      <c r="A39" s="134"/>
      <c r="B39" s="36">
        <v>100</v>
      </c>
      <c r="C39" s="36">
        <v>3600</v>
      </c>
      <c r="D39" s="36">
        <v>0</v>
      </c>
      <c r="E39" s="36">
        <v>0</v>
      </c>
      <c r="F39" s="108" t="s">
        <v>132</v>
      </c>
      <c r="G39" s="122">
        <v>0</v>
      </c>
      <c r="H39" s="129"/>
      <c r="I39" s="122">
        <v>0</v>
      </c>
      <c r="J39" s="122"/>
      <c r="K39" s="122">
        <v>1500</v>
      </c>
      <c r="L39" s="122"/>
      <c r="M39" s="112">
        <f t="shared" si="0"/>
        <v>1500</v>
      </c>
      <c r="N39" s="136"/>
      <c r="O39" s="112">
        <f t="shared" si="2"/>
        <v>1500</v>
      </c>
      <c r="P39" s="112">
        <v>0</v>
      </c>
      <c r="Q39" s="112">
        <f>+K39</f>
        <v>1500</v>
      </c>
      <c r="R39" s="112">
        <v>0</v>
      </c>
      <c r="S39" s="112">
        <v>980</v>
      </c>
      <c r="T39" s="108"/>
      <c r="U39" s="216" t="s">
        <v>34</v>
      </c>
      <c r="V39" s="165" t="s">
        <v>415</v>
      </c>
      <c r="W39" s="134" t="str">
        <f t="shared" si="3"/>
        <v>*</v>
      </c>
      <c r="X39" s="108"/>
      <c r="Y39" s="108"/>
      <c r="Z39" s="108"/>
      <c r="AA39" s="213"/>
      <c r="AB39" s="213"/>
      <c r="AC39" s="213"/>
      <c r="AD39" s="213"/>
      <c r="AE39" s="208"/>
      <c r="AF39" s="209"/>
      <c r="AG39" s="134"/>
    </row>
    <row r="40" spans="1:33" ht="12.75" customHeight="1" x14ac:dyDescent="0.3">
      <c r="A40" s="134"/>
      <c r="B40" s="36">
        <v>100</v>
      </c>
      <c r="C40" s="36">
        <v>3720</v>
      </c>
      <c r="D40" s="36">
        <v>0</v>
      </c>
      <c r="E40" s="36">
        <v>0</v>
      </c>
      <c r="F40" s="108" t="s">
        <v>133</v>
      </c>
      <c r="G40" s="122">
        <v>0</v>
      </c>
      <c r="H40" s="129"/>
      <c r="I40" s="122">
        <v>0</v>
      </c>
      <c r="J40" s="122"/>
      <c r="K40" s="112">
        <v>1047304.09</v>
      </c>
      <c r="L40" s="122"/>
      <c r="M40" s="112">
        <f t="shared" si="0"/>
        <v>1047304.09</v>
      </c>
      <c r="N40" s="136"/>
      <c r="O40" s="112">
        <f t="shared" si="2"/>
        <v>0</v>
      </c>
      <c r="P40" s="112">
        <v>0</v>
      </c>
      <c r="Q40" s="112">
        <v>0</v>
      </c>
      <c r="R40" s="112">
        <f t="shared" si="1"/>
        <v>0</v>
      </c>
      <c r="S40" s="167"/>
      <c r="T40" s="167"/>
      <c r="U40" s="110"/>
      <c r="V40" s="165" t="s">
        <v>32</v>
      </c>
      <c r="W40" s="34" t="str">
        <f t="shared" si="3"/>
        <v>*</v>
      </c>
      <c r="X40" s="108"/>
      <c r="Y40" s="108"/>
      <c r="Z40" s="108"/>
      <c r="AA40" s="213"/>
      <c r="AB40" s="213"/>
      <c r="AC40" s="213"/>
      <c r="AD40" s="213"/>
      <c r="AE40" s="208"/>
      <c r="AF40" s="209"/>
      <c r="AG40" s="134"/>
    </row>
    <row r="41" spans="1:33" ht="12.75" customHeight="1" x14ac:dyDescent="0.3">
      <c r="A41" s="134"/>
      <c r="B41" s="36">
        <v>360</v>
      </c>
      <c r="C41" s="108">
        <v>3397</v>
      </c>
      <c r="D41" s="108">
        <v>0</v>
      </c>
      <c r="E41" s="108">
        <v>0</v>
      </c>
      <c r="F41" s="108" t="s">
        <v>134</v>
      </c>
      <c r="G41" s="112">
        <v>0</v>
      </c>
      <c r="H41" s="129"/>
      <c r="I41" s="112">
        <v>183690</v>
      </c>
      <c r="J41" s="122"/>
      <c r="K41" s="112">
        <v>134373</v>
      </c>
      <c r="L41" s="122"/>
      <c r="M41" s="112">
        <f t="shared" si="0"/>
        <v>318063</v>
      </c>
      <c r="N41" s="154"/>
      <c r="O41" s="112">
        <f t="shared" si="2"/>
        <v>278250</v>
      </c>
      <c r="P41" s="112">
        <f>+P9*525</f>
        <v>157500</v>
      </c>
      <c r="Q41" s="112">
        <f>+Q9*525</f>
        <v>120750</v>
      </c>
      <c r="R41" s="179">
        <f t="shared" si="1"/>
        <v>0</v>
      </c>
      <c r="S41" s="138"/>
      <c r="T41" s="167"/>
      <c r="U41" s="180"/>
      <c r="V41" s="216" t="s">
        <v>405</v>
      </c>
      <c r="W41" s="34" t="str">
        <f t="shared" si="3"/>
        <v>*</v>
      </c>
      <c r="X41" s="108"/>
      <c r="Y41" s="108"/>
      <c r="Z41" s="108"/>
      <c r="AA41" s="212"/>
      <c r="AB41" s="212"/>
      <c r="AC41" s="212"/>
      <c r="AD41" s="212"/>
      <c r="AE41" s="210"/>
      <c r="AF41" s="211"/>
      <c r="AG41" s="134"/>
    </row>
    <row r="42" spans="1:33" ht="12.75" customHeight="1" x14ac:dyDescent="0.3">
      <c r="A42" s="108"/>
      <c r="B42" s="108">
        <v>410</v>
      </c>
      <c r="C42" s="108">
        <v>3261</v>
      </c>
      <c r="D42" s="108">
        <v>0</v>
      </c>
      <c r="E42" s="108">
        <v>0</v>
      </c>
      <c r="F42" s="108" t="s">
        <v>135</v>
      </c>
      <c r="G42" s="108"/>
      <c r="H42" s="108"/>
      <c r="I42" s="122">
        <v>0</v>
      </c>
      <c r="J42" s="112"/>
      <c r="K42" s="112">
        <v>228089.65</v>
      </c>
      <c r="L42" s="112"/>
      <c r="M42" s="112">
        <f t="shared" si="0"/>
        <v>228089.65</v>
      </c>
      <c r="N42" s="112"/>
      <c r="O42" s="112">
        <f>P42+Q42</f>
        <v>249190.95172328496</v>
      </c>
      <c r="P42" s="112">
        <f>+I42/$O$73*$O$74</f>
        <v>0</v>
      </c>
      <c r="Q42" s="112">
        <f>+M42/$O$63*$O$64</f>
        <v>249190.95172328496</v>
      </c>
      <c r="R42" s="108">
        <f t="shared" si="1"/>
        <v>0</v>
      </c>
      <c r="S42" s="108"/>
      <c r="T42" s="108"/>
      <c r="U42" s="108"/>
      <c r="V42" s="216" t="s">
        <v>33</v>
      </c>
      <c r="W42" s="34" t="str">
        <f t="shared" si="3"/>
        <v>*</v>
      </c>
      <c r="X42" s="108"/>
      <c r="Y42" s="108"/>
      <c r="Z42" s="108"/>
      <c r="AA42" s="212"/>
      <c r="AB42" s="212"/>
      <c r="AC42" s="212"/>
      <c r="AD42" s="212"/>
      <c r="AE42" s="210"/>
      <c r="AF42" s="211"/>
      <c r="AG42" s="134"/>
    </row>
    <row r="43" spans="1:33" ht="12.75" customHeight="1" x14ac:dyDescent="0.3">
      <c r="A43" s="108"/>
      <c r="B43" s="108">
        <v>410</v>
      </c>
      <c r="C43" s="108">
        <v>3262</v>
      </c>
      <c r="D43" s="108">
        <v>0</v>
      </c>
      <c r="E43" s="108">
        <v>0</v>
      </c>
      <c r="F43" s="108" t="s">
        <v>136</v>
      </c>
      <c r="G43" s="108"/>
      <c r="H43" s="108"/>
      <c r="I43" s="122">
        <v>0</v>
      </c>
      <c r="J43" s="112"/>
      <c r="K43" s="112">
        <v>50528.263333333336</v>
      </c>
      <c r="L43" s="112"/>
      <c r="M43" s="112">
        <f t="shared" si="0"/>
        <v>50528.263333333336</v>
      </c>
      <c r="N43" s="112"/>
      <c r="O43" s="112">
        <f t="shared" si="2"/>
        <v>55202.794291446786</v>
      </c>
      <c r="P43" s="112">
        <f>+I43/$O$73*$O$74</f>
        <v>0</v>
      </c>
      <c r="Q43" s="112">
        <f>+M43/$O$63*$O$64</f>
        <v>55202.794291446786</v>
      </c>
      <c r="R43" s="108">
        <f t="shared" si="1"/>
        <v>0</v>
      </c>
      <c r="S43" s="108"/>
      <c r="T43" s="108"/>
      <c r="U43" s="108"/>
      <c r="V43" s="216" t="s">
        <v>33</v>
      </c>
      <c r="W43" s="134" t="str">
        <f t="shared" si="3"/>
        <v>*</v>
      </c>
      <c r="X43" s="108"/>
      <c r="Y43" s="108"/>
      <c r="Z43" s="108"/>
      <c r="AA43" s="240"/>
      <c r="AB43" s="212"/>
      <c r="AC43" s="212"/>
      <c r="AD43" s="212"/>
      <c r="AE43" s="210"/>
      <c r="AF43" s="211"/>
      <c r="AG43" s="134"/>
    </row>
    <row r="44" spans="1:33" ht="12.75" customHeight="1" x14ac:dyDescent="0.3">
      <c r="A44" s="108"/>
      <c r="B44" s="108">
        <v>410</v>
      </c>
      <c r="C44" s="108">
        <v>3263</v>
      </c>
      <c r="D44" s="108">
        <v>0</v>
      </c>
      <c r="E44" s="108">
        <v>0</v>
      </c>
      <c r="F44" s="108" t="s">
        <v>137</v>
      </c>
      <c r="G44" s="108"/>
      <c r="H44" s="108"/>
      <c r="I44" s="122">
        <v>0</v>
      </c>
      <c r="J44" s="112"/>
      <c r="K44" s="112">
        <v>6596.3333333333339</v>
      </c>
      <c r="L44" s="112"/>
      <c r="M44" s="112">
        <f t="shared" si="0"/>
        <v>6596.3333333333339</v>
      </c>
      <c r="N44" s="112"/>
      <c r="O44" s="112">
        <f t="shared" si="2"/>
        <v>7206.5811895338611</v>
      </c>
      <c r="P44" s="112">
        <f>+I44/$O$73*$O$74</f>
        <v>0</v>
      </c>
      <c r="Q44" s="112">
        <f>+M44/$O$63*$O$64</f>
        <v>7206.5811895338611</v>
      </c>
      <c r="R44" s="108">
        <f t="shared" si="1"/>
        <v>0</v>
      </c>
      <c r="S44" s="108"/>
      <c r="T44" s="108"/>
      <c r="U44" s="108"/>
      <c r="V44" s="216" t="s">
        <v>33</v>
      </c>
      <c r="W44" s="134" t="str">
        <f t="shared" si="3"/>
        <v>*</v>
      </c>
      <c r="X44" s="108"/>
      <c r="Y44" s="108"/>
      <c r="Z44" s="108"/>
      <c r="AA44" s="212"/>
      <c r="AB44" s="212"/>
      <c r="AC44" s="212"/>
      <c r="AD44" s="212"/>
      <c r="AE44" s="210"/>
      <c r="AF44" s="211"/>
      <c r="AG44" s="134"/>
    </row>
    <row r="45" spans="1:33" s="134" customFormat="1" ht="12.75" hidden="1" customHeight="1" x14ac:dyDescent="0.3">
      <c r="A45" s="108"/>
      <c r="B45" s="108">
        <v>410</v>
      </c>
      <c r="C45" s="108">
        <v>3269</v>
      </c>
      <c r="D45" s="108">
        <v>0</v>
      </c>
      <c r="E45" s="108">
        <v>0</v>
      </c>
      <c r="F45" s="108" t="s">
        <v>331</v>
      </c>
      <c r="G45" s="108"/>
      <c r="H45" s="108"/>
      <c r="I45" s="122">
        <v>0</v>
      </c>
      <c r="J45" s="112"/>
      <c r="K45" s="112">
        <v>0</v>
      </c>
      <c r="L45" s="112"/>
      <c r="M45" s="112">
        <f t="shared" si="0"/>
        <v>0</v>
      </c>
      <c r="N45" s="112"/>
      <c r="O45" s="112">
        <f t="shared" ref="O45" si="24">P45+Q45</f>
        <v>0</v>
      </c>
      <c r="P45" s="112">
        <f>+I45/$O$73*$O$74</f>
        <v>0</v>
      </c>
      <c r="Q45" s="112">
        <v>0</v>
      </c>
      <c r="R45" s="108">
        <f t="shared" ref="R45" si="25">O45-P45-Q45</f>
        <v>0</v>
      </c>
      <c r="S45" s="108"/>
      <c r="T45" s="108"/>
      <c r="U45" s="217"/>
      <c r="V45" s="216" t="s">
        <v>32</v>
      </c>
      <c r="W45" s="134" t="str">
        <f t="shared" ref="W45" si="26">IF((O45+M45)&gt;0.49,"*","")</f>
        <v/>
      </c>
      <c r="X45" s="108"/>
      <c r="Y45" s="108"/>
      <c r="Z45" s="108"/>
      <c r="AA45" s="212"/>
      <c r="AB45" s="212"/>
      <c r="AC45" s="212"/>
      <c r="AD45" s="212"/>
      <c r="AE45" s="210"/>
      <c r="AF45" s="211"/>
    </row>
    <row r="46" spans="1:33" s="134" customFormat="1" ht="12.75" customHeight="1" x14ac:dyDescent="0.3">
      <c r="A46" s="108"/>
      <c r="B46" s="108">
        <v>410</v>
      </c>
      <c r="C46" s="108">
        <v>3451</v>
      </c>
      <c r="D46" s="108">
        <v>0</v>
      </c>
      <c r="E46" s="108">
        <v>0</v>
      </c>
      <c r="F46" s="108" t="s">
        <v>138</v>
      </c>
      <c r="G46" s="108"/>
      <c r="H46" s="108"/>
      <c r="I46" s="122">
        <v>0</v>
      </c>
      <c r="J46" s="112"/>
      <c r="K46" s="112">
        <v>23454.659999999996</v>
      </c>
      <c r="L46" s="112"/>
      <c r="M46" s="112">
        <f t="shared" si="0"/>
        <v>23454.659999999996</v>
      </c>
      <c r="N46" s="112"/>
      <c r="O46" s="112">
        <f t="shared" si="2"/>
        <v>25624.525478232186</v>
      </c>
      <c r="P46" s="112">
        <f>+I46/$O$73*$O$74</f>
        <v>0</v>
      </c>
      <c r="Q46" s="112">
        <f>+M46/$O$63*$O$64</f>
        <v>25624.525478232186</v>
      </c>
      <c r="R46" s="108">
        <f t="shared" si="1"/>
        <v>0</v>
      </c>
      <c r="S46" s="108"/>
      <c r="T46" s="108"/>
      <c r="U46" s="108"/>
      <c r="V46" s="216" t="s">
        <v>33</v>
      </c>
      <c r="W46" s="134" t="str">
        <f t="shared" si="3"/>
        <v>*</v>
      </c>
      <c r="X46" s="108"/>
      <c r="Y46" s="108"/>
      <c r="Z46" s="108"/>
      <c r="AA46" s="212"/>
      <c r="AB46" s="212"/>
      <c r="AC46" s="212"/>
      <c r="AD46" s="212"/>
      <c r="AE46" s="210"/>
      <c r="AF46" s="211"/>
    </row>
    <row r="47" spans="1:33" s="134" customFormat="1" ht="12.75" hidden="1" customHeight="1" x14ac:dyDescent="0.3">
      <c r="A47" s="108"/>
      <c r="B47" s="108">
        <v>410</v>
      </c>
      <c r="C47" s="108">
        <v>3452</v>
      </c>
      <c r="D47" s="108">
        <v>0</v>
      </c>
      <c r="E47" s="108">
        <v>0</v>
      </c>
      <c r="F47" s="108" t="s">
        <v>139</v>
      </c>
      <c r="G47" s="108"/>
      <c r="H47" s="108"/>
      <c r="I47" s="122">
        <v>0</v>
      </c>
      <c r="J47" s="112"/>
      <c r="K47" s="112">
        <v>0</v>
      </c>
      <c r="L47" s="112"/>
      <c r="M47" s="112">
        <f t="shared" si="0"/>
        <v>0</v>
      </c>
      <c r="N47" s="112"/>
      <c r="O47" s="112">
        <f t="shared" si="2"/>
        <v>0</v>
      </c>
      <c r="P47" s="112">
        <f t="shared" ref="P47:P48" si="27">+I47/$O$73*$O$74</f>
        <v>0</v>
      </c>
      <c r="Q47" s="112">
        <v>0</v>
      </c>
      <c r="R47" s="108">
        <f t="shared" si="1"/>
        <v>0</v>
      </c>
      <c r="S47" s="108"/>
      <c r="T47" s="108"/>
      <c r="U47" s="217"/>
      <c r="V47" s="216" t="s">
        <v>32</v>
      </c>
      <c r="W47" s="134" t="str">
        <f t="shared" si="3"/>
        <v/>
      </c>
      <c r="X47" s="108"/>
      <c r="Y47" s="108"/>
      <c r="Z47" s="108"/>
      <c r="AA47" s="213"/>
      <c r="AB47" s="213"/>
      <c r="AC47" s="213"/>
      <c r="AD47" s="213"/>
      <c r="AE47" s="208"/>
      <c r="AF47" s="209"/>
    </row>
    <row r="48" spans="1:33" ht="12.75" customHeight="1" x14ac:dyDescent="0.3">
      <c r="A48" s="108"/>
      <c r="B48" s="108">
        <v>410</v>
      </c>
      <c r="C48" s="108">
        <v>3455</v>
      </c>
      <c r="D48" s="108">
        <v>0</v>
      </c>
      <c r="E48" s="108">
        <v>0</v>
      </c>
      <c r="F48" s="108" t="s">
        <v>140</v>
      </c>
      <c r="G48" s="108"/>
      <c r="H48" s="108"/>
      <c r="I48" s="122">
        <v>0</v>
      </c>
      <c r="J48" s="112"/>
      <c r="K48" s="112">
        <v>96.75</v>
      </c>
      <c r="L48" s="112"/>
      <c r="M48" s="112">
        <f t="shared" si="0"/>
        <v>96.75</v>
      </c>
      <c r="N48" s="112"/>
      <c r="O48" s="112">
        <f t="shared" si="2"/>
        <v>0</v>
      </c>
      <c r="P48" s="112">
        <f t="shared" si="27"/>
        <v>0</v>
      </c>
      <c r="Q48" s="112">
        <v>0</v>
      </c>
      <c r="R48" s="108">
        <f t="shared" si="1"/>
        <v>0</v>
      </c>
      <c r="S48" s="108"/>
      <c r="T48" s="108"/>
      <c r="U48" s="217"/>
      <c r="V48" s="216" t="s">
        <v>32</v>
      </c>
      <c r="W48" s="134" t="str">
        <f t="shared" si="3"/>
        <v>*</v>
      </c>
      <c r="X48" s="108"/>
      <c r="Y48" s="108"/>
      <c r="Z48" s="108"/>
      <c r="AA48" s="251"/>
      <c r="AB48" s="213"/>
      <c r="AC48" s="213"/>
      <c r="AD48" s="213"/>
      <c r="AE48" s="208"/>
      <c r="AF48" s="209"/>
      <c r="AG48" s="134"/>
    </row>
    <row r="49" spans="1:33" s="134" customFormat="1" ht="12.75" customHeight="1" x14ac:dyDescent="0.3">
      <c r="B49" s="108">
        <v>432</v>
      </c>
      <c r="C49" s="108">
        <v>3240</v>
      </c>
      <c r="D49" s="108">
        <v>0</v>
      </c>
      <c r="E49" s="108">
        <v>0</v>
      </c>
      <c r="F49" s="108" t="s">
        <v>141</v>
      </c>
      <c r="G49" s="179"/>
      <c r="H49" s="110"/>
      <c r="I49" s="112">
        <v>150787</v>
      </c>
      <c r="J49" s="112"/>
      <c r="K49" s="112">
        <v>118133</v>
      </c>
      <c r="L49" s="112"/>
      <c r="M49" s="112">
        <f t="shared" si="0"/>
        <v>268920</v>
      </c>
      <c r="N49" s="154"/>
      <c r="O49" s="112">
        <f t="shared" si="2"/>
        <v>285354</v>
      </c>
      <c r="P49" s="112">
        <v>186813</v>
      </c>
      <c r="Q49" s="112">
        <v>98541</v>
      </c>
      <c r="R49" s="217">
        <f t="shared" si="1"/>
        <v>0</v>
      </c>
      <c r="S49" s="217"/>
      <c r="T49" s="108"/>
      <c r="U49" s="217"/>
      <c r="V49" s="216" t="s">
        <v>142</v>
      </c>
      <c r="W49" s="134" t="str">
        <f t="shared" si="3"/>
        <v>*</v>
      </c>
      <c r="X49" s="108"/>
      <c r="Y49" s="34"/>
      <c r="Z49" s="34"/>
      <c r="AA49" s="252"/>
      <c r="AB49" s="213"/>
      <c r="AC49" s="213"/>
      <c r="AD49" s="213"/>
      <c r="AE49" s="208"/>
      <c r="AF49" s="209"/>
    </row>
    <row r="50" spans="1:33" s="134" customFormat="1" ht="12.75" hidden="1" customHeight="1" x14ac:dyDescent="0.3">
      <c r="B50" s="108">
        <v>432</v>
      </c>
      <c r="C50" s="108">
        <v>3241</v>
      </c>
      <c r="D50" s="108">
        <v>0</v>
      </c>
      <c r="E50" s="108">
        <v>0</v>
      </c>
      <c r="F50" s="108" t="s">
        <v>416</v>
      </c>
      <c r="G50" s="179"/>
      <c r="H50" s="110"/>
      <c r="I50" s="112">
        <v>0</v>
      </c>
      <c r="J50" s="112"/>
      <c r="K50" s="112">
        <v>0</v>
      </c>
      <c r="L50" s="112"/>
      <c r="M50" s="112">
        <f t="shared" ref="M50" si="28">+I50+K50</f>
        <v>0</v>
      </c>
      <c r="N50" s="154"/>
      <c r="O50" s="179">
        <f t="shared" ref="O50" si="29">P50+Q50</f>
        <v>0</v>
      </c>
      <c r="P50" s="117">
        <v>0</v>
      </c>
      <c r="Q50" s="117">
        <v>0</v>
      </c>
      <c r="R50" s="108">
        <f t="shared" ref="R50" si="30">O50-P50-Q50</f>
        <v>0</v>
      </c>
      <c r="S50" s="108"/>
      <c r="T50" s="217"/>
      <c r="U50" s="108"/>
      <c r="V50" s="258" t="s">
        <v>417</v>
      </c>
      <c r="W50" s="134" t="str">
        <f t="shared" ref="W50" si="31">IF((O50+M50)&gt;0.49,"*","")</f>
        <v/>
      </c>
      <c r="X50" s="108"/>
      <c r="Y50" s="34"/>
      <c r="Z50" s="34"/>
      <c r="AA50" s="252"/>
      <c r="AB50" s="213"/>
      <c r="AC50" s="213"/>
      <c r="AD50" s="213"/>
      <c r="AE50" s="208"/>
      <c r="AF50" s="209"/>
    </row>
    <row r="51" spans="1:33" s="34" customFormat="1" ht="12.75" customHeight="1" x14ac:dyDescent="0.3">
      <c r="B51" s="108">
        <v>435</v>
      </c>
      <c r="C51" s="108">
        <v>3200</v>
      </c>
      <c r="D51" s="108">
        <v>1</v>
      </c>
      <c r="E51" s="108">
        <v>0</v>
      </c>
      <c r="F51" s="108" t="s">
        <v>145</v>
      </c>
      <c r="G51" s="112"/>
      <c r="H51" s="110"/>
      <c r="I51" s="112">
        <v>5662.43</v>
      </c>
      <c r="J51" s="112"/>
      <c r="K51" s="112">
        <v>2987.58</v>
      </c>
      <c r="L51" s="112"/>
      <c r="M51" s="112">
        <f t="shared" si="0"/>
        <v>8650.01</v>
      </c>
      <c r="N51" s="154"/>
      <c r="O51" s="112">
        <f t="shared" ref="O51" si="32">P51+Q51</f>
        <v>0</v>
      </c>
      <c r="P51" s="112">
        <v>0</v>
      </c>
      <c r="Q51" s="112">
        <v>0</v>
      </c>
      <c r="R51" s="217">
        <f t="shared" ref="R51" si="33">O51-P51-Q51</f>
        <v>0</v>
      </c>
      <c r="S51" s="217"/>
      <c r="T51" s="108"/>
      <c r="U51" s="217"/>
      <c r="V51" s="216" t="s">
        <v>144</v>
      </c>
      <c r="W51" s="34" t="str">
        <f t="shared" ref="W51" si="34">IF((O51+M51)&gt;0.49,"*","")</f>
        <v>*</v>
      </c>
      <c r="X51" s="108"/>
      <c r="AA51" s="252"/>
      <c r="AB51" s="212"/>
      <c r="AC51" s="212"/>
      <c r="AD51" s="212"/>
      <c r="AE51" s="210"/>
      <c r="AF51" s="211"/>
    </row>
    <row r="52" spans="1:33" s="34" customFormat="1" ht="12.75" customHeight="1" x14ac:dyDescent="0.3">
      <c r="B52" s="108">
        <v>435</v>
      </c>
      <c r="C52" s="108">
        <v>3200</v>
      </c>
      <c r="D52" s="108">
        <v>11</v>
      </c>
      <c r="E52" s="108">
        <v>0</v>
      </c>
      <c r="F52" s="108" t="s">
        <v>348</v>
      </c>
      <c r="G52" s="112"/>
      <c r="H52" s="110"/>
      <c r="I52" s="112">
        <v>151344.91</v>
      </c>
      <c r="J52" s="112"/>
      <c r="K52" s="112">
        <v>153718.48999999996</v>
      </c>
      <c r="L52" s="112"/>
      <c r="M52" s="112">
        <f t="shared" ref="M52:M53" si="35">+I52+K52</f>
        <v>305063.39999999997</v>
      </c>
      <c r="N52" s="154"/>
      <c r="O52" s="112">
        <f t="shared" ref="O52" si="36">P52+Q52</f>
        <v>25324.480000000003</v>
      </c>
      <c r="P52" s="112">
        <v>17660.310000000001</v>
      </c>
      <c r="Q52" s="112">
        <v>7664.17</v>
      </c>
      <c r="R52" s="217">
        <f t="shared" ref="R52" si="37">O52-P52-Q52</f>
        <v>0</v>
      </c>
      <c r="S52" s="217"/>
      <c r="T52" s="108"/>
      <c r="U52" s="217"/>
      <c r="V52" s="216" t="s">
        <v>144</v>
      </c>
      <c r="W52" s="34" t="str">
        <f t="shared" ref="W52" si="38">IF((O52+M52)&gt;0.49,"*","")</f>
        <v>*</v>
      </c>
      <c r="X52" s="108"/>
      <c r="Y52" s="269" t="s">
        <v>437</v>
      </c>
      <c r="AA52" s="212"/>
      <c r="AB52" s="212"/>
      <c r="AC52" s="212"/>
      <c r="AD52" s="212"/>
      <c r="AE52" s="210"/>
      <c r="AF52" s="211"/>
    </row>
    <row r="53" spans="1:33" s="34" customFormat="1" ht="12.75" customHeight="1" x14ac:dyDescent="0.3">
      <c r="B53" s="108">
        <v>435</v>
      </c>
      <c r="C53" s="108">
        <v>3200</v>
      </c>
      <c r="D53" s="108">
        <v>12</v>
      </c>
      <c r="E53" s="108">
        <v>0</v>
      </c>
      <c r="F53" s="108" t="s">
        <v>406</v>
      </c>
      <c r="G53" s="112"/>
      <c r="H53" s="110"/>
      <c r="I53" s="112">
        <v>0</v>
      </c>
      <c r="J53" s="112"/>
      <c r="K53" s="112">
        <v>0</v>
      </c>
      <c r="L53" s="112"/>
      <c r="M53" s="112">
        <f t="shared" si="35"/>
        <v>0</v>
      </c>
      <c r="N53" s="154"/>
      <c r="O53" s="112">
        <f t="shared" ref="O53" si="39">P53+Q53</f>
        <v>163500</v>
      </c>
      <c r="P53" s="112">
        <f>93500*60%+70000</f>
        <v>126100</v>
      </c>
      <c r="Q53" s="112">
        <f>93500*40%</f>
        <v>37400</v>
      </c>
      <c r="R53" s="217">
        <f t="shared" ref="R53" si="40">O53-P53-Q53</f>
        <v>0</v>
      </c>
      <c r="S53" s="217"/>
      <c r="T53" s="108"/>
      <c r="U53" s="217"/>
      <c r="V53" s="216" t="s">
        <v>144</v>
      </c>
      <c r="W53" s="34" t="str">
        <f t="shared" ref="W53" si="41">IF((O53+M53)&gt;0.49,"*","")</f>
        <v>*</v>
      </c>
      <c r="X53" s="108"/>
      <c r="Y53" s="269" t="s">
        <v>438</v>
      </c>
      <c r="AA53" s="212"/>
      <c r="AB53" s="212"/>
      <c r="AC53" s="212"/>
      <c r="AD53" s="212"/>
      <c r="AE53" s="210"/>
      <c r="AF53" s="211"/>
    </row>
    <row r="54" spans="1:33" s="34" customFormat="1" ht="12.75" hidden="1" customHeight="1" x14ac:dyDescent="0.3">
      <c r="B54" s="108">
        <v>435</v>
      </c>
      <c r="C54" s="108">
        <v>3200</v>
      </c>
      <c r="D54" s="108">
        <v>2</v>
      </c>
      <c r="E54" s="108">
        <v>0</v>
      </c>
      <c r="F54" s="108" t="s">
        <v>333</v>
      </c>
      <c r="G54" s="112"/>
      <c r="H54" s="110"/>
      <c r="I54" s="112">
        <v>0</v>
      </c>
      <c r="J54" s="112"/>
      <c r="K54" s="112">
        <v>0</v>
      </c>
      <c r="L54" s="112"/>
      <c r="M54" s="112">
        <f t="shared" si="0"/>
        <v>0</v>
      </c>
      <c r="N54" s="154"/>
      <c r="O54" s="112">
        <f t="shared" ref="O54" si="42">P54+Q54</f>
        <v>0</v>
      </c>
      <c r="P54" s="112">
        <v>0</v>
      </c>
      <c r="Q54" s="112">
        <v>0</v>
      </c>
      <c r="R54" s="217">
        <f t="shared" ref="R54" si="43">O54-P54-Q54</f>
        <v>0</v>
      </c>
      <c r="S54" s="217"/>
      <c r="T54" s="108"/>
      <c r="U54" s="217"/>
      <c r="V54" s="216" t="s">
        <v>144</v>
      </c>
      <c r="W54" s="34" t="str">
        <f t="shared" ref="W54" si="44">IF((O54+M54)&gt;0.49,"*","")</f>
        <v/>
      </c>
      <c r="X54" s="108"/>
      <c r="AA54" s="212"/>
      <c r="AB54" s="212"/>
      <c r="AC54" s="212"/>
      <c r="AD54" s="212"/>
      <c r="AE54" s="210"/>
      <c r="AF54" s="211"/>
    </row>
    <row r="55" spans="1:33" s="34" customFormat="1" ht="12.75" hidden="1" customHeight="1" x14ac:dyDescent="0.3">
      <c r="B55" s="108">
        <v>435</v>
      </c>
      <c r="C55" s="108">
        <v>3700</v>
      </c>
      <c r="D55" s="108">
        <v>0</v>
      </c>
      <c r="E55" s="108">
        <v>0</v>
      </c>
      <c r="F55" s="108" t="s">
        <v>143</v>
      </c>
      <c r="G55" s="112"/>
      <c r="H55" s="110"/>
      <c r="I55" s="112">
        <v>0</v>
      </c>
      <c r="J55" s="112"/>
      <c r="K55" s="112">
        <v>0</v>
      </c>
      <c r="L55" s="112"/>
      <c r="M55" s="112">
        <f t="shared" si="0"/>
        <v>0</v>
      </c>
      <c r="N55" s="154"/>
      <c r="O55" s="112">
        <f>P55+Q55</f>
        <v>0</v>
      </c>
      <c r="P55" s="112">
        <v>0</v>
      </c>
      <c r="Q55" s="112">
        <v>0</v>
      </c>
      <c r="R55" s="108">
        <f>O55-P55-Q55</f>
        <v>0</v>
      </c>
      <c r="S55" s="108"/>
      <c r="T55" s="108"/>
      <c r="U55" s="108"/>
      <c r="V55" s="216" t="s">
        <v>32</v>
      </c>
      <c r="W55" s="34" t="str">
        <f>IF((O55+M55)&gt;0.49,"*","")</f>
        <v/>
      </c>
      <c r="X55" s="108"/>
      <c r="AA55" s="212"/>
      <c r="AB55" s="212"/>
      <c r="AC55" s="212"/>
      <c r="AD55" s="212"/>
      <c r="AE55" s="210"/>
      <c r="AF55" s="211"/>
    </row>
    <row r="56" spans="1:33" s="34" customFormat="1" ht="12.75" hidden="1" customHeight="1" x14ac:dyDescent="0.3">
      <c r="B56" s="108">
        <v>490</v>
      </c>
      <c r="C56" s="108">
        <v>3290</v>
      </c>
      <c r="D56" s="108">
        <v>0</v>
      </c>
      <c r="E56" s="108">
        <v>0</v>
      </c>
      <c r="F56" s="108" t="s">
        <v>334</v>
      </c>
      <c r="G56" s="112"/>
      <c r="H56" s="110"/>
      <c r="I56" s="112">
        <v>0</v>
      </c>
      <c r="J56" s="112"/>
      <c r="K56" s="112">
        <v>0</v>
      </c>
      <c r="L56" s="112"/>
      <c r="M56" s="112">
        <f t="shared" si="0"/>
        <v>0</v>
      </c>
      <c r="N56" s="154"/>
      <c r="O56" s="112">
        <f>P56+Q56</f>
        <v>0</v>
      </c>
      <c r="P56" s="112">
        <v>0</v>
      </c>
      <c r="Q56" s="112">
        <v>0</v>
      </c>
      <c r="R56" s="108">
        <f>O56-P56-Q56</f>
        <v>0</v>
      </c>
      <c r="S56" s="108"/>
      <c r="T56" s="108"/>
      <c r="U56" s="108"/>
      <c r="V56" s="216" t="s">
        <v>32</v>
      </c>
      <c r="W56" s="34" t="str">
        <f>IF((O56+M56)&gt;0.49,"*","")</f>
        <v/>
      </c>
      <c r="X56" s="108"/>
      <c r="AA56" s="212"/>
      <c r="AB56" s="212"/>
      <c r="AC56" s="212"/>
      <c r="AD56" s="212"/>
      <c r="AE56" s="210"/>
      <c r="AF56" s="211"/>
    </row>
    <row r="57" spans="1:33" s="34" customFormat="1" ht="12.75" customHeight="1" x14ac:dyDescent="0.3">
      <c r="B57" s="108">
        <v>493</v>
      </c>
      <c r="C57" s="108">
        <v>3290</v>
      </c>
      <c r="D57" s="108">
        <v>0</v>
      </c>
      <c r="E57" s="108">
        <v>0</v>
      </c>
      <c r="F57" s="108" t="s">
        <v>335</v>
      </c>
      <c r="G57" s="112"/>
      <c r="H57" s="110"/>
      <c r="I57" s="112">
        <v>10712.24</v>
      </c>
      <c r="J57" s="112"/>
      <c r="K57" s="112">
        <v>10500</v>
      </c>
      <c r="L57" s="112"/>
      <c r="M57" s="112">
        <f t="shared" si="0"/>
        <v>21212.239999999998</v>
      </c>
      <c r="N57" s="154"/>
      <c r="O57" s="112">
        <f>P57+Q57</f>
        <v>0</v>
      </c>
      <c r="P57" s="112">
        <v>0</v>
      </c>
      <c r="Q57" s="112">
        <v>0</v>
      </c>
      <c r="R57" s="217">
        <f>O57-P57-Q57</f>
        <v>0</v>
      </c>
      <c r="S57" s="217"/>
      <c r="T57" s="108"/>
      <c r="U57" s="217"/>
      <c r="V57" s="216" t="s">
        <v>144</v>
      </c>
      <c r="W57" s="34" t="str">
        <f>IF((O57+M57)&gt;0.49,"*","")</f>
        <v>*</v>
      </c>
      <c r="X57" s="108"/>
      <c r="AA57" s="212"/>
      <c r="AB57" s="212"/>
      <c r="AC57" s="212"/>
      <c r="AD57" s="212"/>
      <c r="AE57" s="210"/>
      <c r="AF57" s="211"/>
    </row>
    <row r="58" spans="1:33" s="34" customFormat="1" ht="14.4" x14ac:dyDescent="0.3">
      <c r="B58" s="108">
        <v>495</v>
      </c>
      <c r="C58" s="108">
        <v>3200</v>
      </c>
      <c r="D58" s="108">
        <v>0</v>
      </c>
      <c r="E58" s="108">
        <v>0</v>
      </c>
      <c r="F58" s="108" t="s">
        <v>146</v>
      </c>
      <c r="G58" s="179"/>
      <c r="H58" s="110"/>
      <c r="I58" s="112">
        <v>0</v>
      </c>
      <c r="J58" s="112"/>
      <c r="K58" s="112">
        <v>688042.27</v>
      </c>
      <c r="L58" s="112"/>
      <c r="M58" s="112">
        <f t="shared" si="0"/>
        <v>688042.27</v>
      </c>
      <c r="N58" s="154"/>
      <c r="O58" s="112">
        <f t="shared" si="2"/>
        <v>0</v>
      </c>
      <c r="P58" s="112">
        <f>+I58</f>
        <v>0</v>
      </c>
      <c r="Q58" s="112">
        <f>'Expense Input'!S125*100%</f>
        <v>0</v>
      </c>
      <c r="R58" s="179">
        <f t="shared" si="1"/>
        <v>0</v>
      </c>
      <c r="S58" s="138"/>
      <c r="T58" s="167"/>
      <c r="U58" s="180"/>
      <c r="V58" s="165"/>
      <c r="W58" s="134" t="str">
        <f t="shared" si="3"/>
        <v>*</v>
      </c>
      <c r="Y58" s="108"/>
      <c r="Z58" s="108"/>
      <c r="AA58" s="212"/>
      <c r="AB58" s="212"/>
      <c r="AC58" s="212"/>
      <c r="AD58" s="212"/>
      <c r="AE58" s="210"/>
      <c r="AF58" s="211"/>
    </row>
    <row r="59" spans="1:33" ht="14.4" hidden="1" x14ac:dyDescent="0.3">
      <c r="A59" s="108"/>
      <c r="B59" s="108">
        <v>495</v>
      </c>
      <c r="C59" s="108">
        <v>3473</v>
      </c>
      <c r="D59" s="108">
        <v>0</v>
      </c>
      <c r="E59" s="108">
        <v>0</v>
      </c>
      <c r="F59" s="108" t="s">
        <v>147</v>
      </c>
      <c r="G59" s="217"/>
      <c r="H59" s="108"/>
      <c r="I59" s="112">
        <v>0</v>
      </c>
      <c r="J59" s="112"/>
      <c r="K59" s="112">
        <v>0</v>
      </c>
      <c r="L59" s="112"/>
      <c r="M59" s="112">
        <f t="shared" si="0"/>
        <v>0</v>
      </c>
      <c r="N59" s="112"/>
      <c r="O59" s="112">
        <f t="shared" si="2"/>
        <v>0</v>
      </c>
      <c r="P59" s="112">
        <v>0</v>
      </c>
      <c r="Q59" s="112">
        <v>0</v>
      </c>
      <c r="R59" s="217">
        <f t="shared" si="1"/>
        <v>0</v>
      </c>
      <c r="S59" s="217"/>
      <c r="T59" s="108"/>
      <c r="U59" s="108"/>
      <c r="V59" s="216" t="s">
        <v>32</v>
      </c>
      <c r="W59" s="134" t="str">
        <f t="shared" si="3"/>
        <v/>
      </c>
      <c r="X59" s="108"/>
      <c r="Y59" s="108"/>
      <c r="Z59" s="108"/>
      <c r="AA59" s="213"/>
      <c r="AB59" s="213"/>
      <c r="AC59" s="213"/>
      <c r="AD59" s="213"/>
      <c r="AE59" s="208"/>
      <c r="AF59" s="209"/>
      <c r="AG59" s="134"/>
    </row>
    <row r="60" spans="1:33" ht="13.2" x14ac:dyDescent="0.25">
      <c r="A60" s="134"/>
      <c r="B60" s="108"/>
      <c r="C60" s="108"/>
      <c r="D60" s="108"/>
      <c r="E60" s="108"/>
      <c r="F60" s="108"/>
      <c r="G60" s="112"/>
      <c r="H60" s="110"/>
      <c r="I60" s="112"/>
      <c r="J60" s="112"/>
      <c r="K60" s="112"/>
      <c r="L60" s="112"/>
      <c r="M60" s="112"/>
      <c r="N60" s="154"/>
      <c r="O60" s="112"/>
      <c r="P60" s="112"/>
      <c r="Q60" s="112"/>
      <c r="R60" s="110"/>
      <c r="S60" s="167"/>
      <c r="T60" s="167"/>
      <c r="U60" s="110"/>
      <c r="V60" s="120"/>
      <c r="W60" s="134" t="s">
        <v>2</v>
      </c>
      <c r="X60" s="134"/>
      <c r="Y60" s="134"/>
      <c r="Z60" s="134"/>
      <c r="AA60" s="108"/>
      <c r="AB60" s="108"/>
      <c r="AC60" s="112"/>
      <c r="AD60" s="134"/>
      <c r="AE60" s="134"/>
      <c r="AF60" s="134"/>
      <c r="AG60" s="134"/>
    </row>
    <row r="61" spans="1:33" ht="13.2" x14ac:dyDescent="0.25">
      <c r="A61" s="134"/>
      <c r="B61" s="36"/>
      <c r="C61" s="36"/>
      <c r="D61" s="36"/>
      <c r="E61" s="36"/>
      <c r="F61" s="36"/>
      <c r="G61" s="122">
        <f>SUM(G16:G59)</f>
        <v>180385.96</v>
      </c>
      <c r="H61" s="129"/>
      <c r="I61" s="122">
        <f>SUM(I11:I59)</f>
        <v>2608571.0750000007</v>
      </c>
      <c r="J61" s="122"/>
      <c r="K61" s="122">
        <f>SUM(K11:K59)</f>
        <v>3934442.1966666663</v>
      </c>
      <c r="L61" s="122"/>
      <c r="M61" s="122">
        <f>SUM(M11:M59)</f>
        <v>6543013.2716666684</v>
      </c>
      <c r="N61" s="136"/>
      <c r="O61" s="122">
        <f>SUM(O11:O59)</f>
        <v>5105541.3397280145</v>
      </c>
      <c r="P61" s="122">
        <f>SUM(P11:P59)</f>
        <v>2838969.2362233647</v>
      </c>
      <c r="Q61" s="122">
        <f>SUM(Q11:Q59)</f>
        <v>2266572.1035046494</v>
      </c>
      <c r="R61" s="122">
        <f>SUM(R16:R59)</f>
        <v>0</v>
      </c>
      <c r="S61" s="122"/>
      <c r="T61" s="122"/>
      <c r="U61" s="129"/>
      <c r="W61" s="134" t="str">
        <f t="shared" ref="W61" si="45">IF((O61+M61)&gt;0.49,"*","")</f>
        <v>*</v>
      </c>
      <c r="X61" s="134"/>
      <c r="Y61" s="134"/>
      <c r="Z61" s="134"/>
      <c r="AA61" s="134"/>
      <c r="AB61" s="108"/>
      <c r="AC61" s="112"/>
      <c r="AD61" s="134"/>
      <c r="AE61" s="134"/>
      <c r="AF61" s="134"/>
      <c r="AG61" s="134"/>
    </row>
    <row r="62" spans="1:33" ht="13.2" x14ac:dyDescent="0.25">
      <c r="A62" s="134"/>
      <c r="B62" s="36"/>
      <c r="C62" s="36"/>
      <c r="D62" s="36"/>
      <c r="E62" s="36"/>
      <c r="F62" s="36"/>
      <c r="G62" s="122"/>
      <c r="H62" s="129"/>
      <c r="I62" s="122"/>
      <c r="J62" s="122"/>
      <c r="K62" s="122"/>
      <c r="L62" s="122"/>
      <c r="M62" s="122"/>
      <c r="N62" s="134"/>
      <c r="O62" s="122"/>
      <c r="P62" s="122"/>
      <c r="Q62" s="122"/>
      <c r="R62" s="122"/>
      <c r="S62" s="122"/>
      <c r="T62" s="122"/>
      <c r="U62" s="129"/>
      <c r="W62" s="134" t="s">
        <v>2</v>
      </c>
      <c r="X62" s="134"/>
      <c r="Y62" s="134"/>
      <c r="Z62" s="134"/>
      <c r="AA62" s="134"/>
      <c r="AB62" s="108"/>
      <c r="AC62" s="112"/>
      <c r="AD62" s="134"/>
      <c r="AE62" s="134"/>
      <c r="AF62" s="134"/>
      <c r="AG62" s="134"/>
    </row>
    <row r="63" spans="1:33" ht="13.2" hidden="1" x14ac:dyDescent="0.25">
      <c r="A63" s="134"/>
      <c r="B63" s="36"/>
      <c r="C63" s="36"/>
      <c r="D63" s="36"/>
      <c r="E63" s="36"/>
      <c r="F63" s="36"/>
      <c r="G63" s="122"/>
      <c r="H63" s="129"/>
      <c r="I63" s="122"/>
      <c r="J63" s="122"/>
      <c r="K63" s="122"/>
      <c r="L63" s="122"/>
      <c r="M63" s="122" t="s">
        <v>148</v>
      </c>
      <c r="N63" s="134"/>
      <c r="O63" s="122">
        <f>+O73+O77</f>
        <v>485.12</v>
      </c>
      <c r="P63" s="122"/>
      <c r="Q63" s="122"/>
      <c r="R63" s="122"/>
      <c r="S63" s="122"/>
      <c r="T63" s="122"/>
      <c r="U63" s="129"/>
      <c r="W63" s="134"/>
      <c r="X63" s="134"/>
      <c r="Y63" s="134"/>
      <c r="Z63" s="134"/>
      <c r="AA63" s="134"/>
      <c r="AB63" s="108"/>
      <c r="AC63" s="112"/>
      <c r="AD63" s="134"/>
      <c r="AE63" s="134"/>
      <c r="AF63" s="134"/>
      <c r="AG63" s="134"/>
    </row>
    <row r="64" spans="1:33" ht="13.2" hidden="1" x14ac:dyDescent="0.25">
      <c r="A64" s="134"/>
      <c r="B64" s="36"/>
      <c r="C64" s="36"/>
      <c r="D64" s="36"/>
      <c r="E64" s="36"/>
      <c r="F64" s="36"/>
      <c r="G64" s="122"/>
      <c r="H64" s="129"/>
      <c r="I64" s="122"/>
      <c r="J64" s="122"/>
      <c r="K64" s="122"/>
      <c r="L64" s="122"/>
      <c r="M64" s="122" t="s">
        <v>149</v>
      </c>
      <c r="N64" s="134"/>
      <c r="O64" s="122">
        <f>+O74+O78</f>
        <v>530</v>
      </c>
      <c r="P64" s="122"/>
      <c r="Q64" s="122"/>
      <c r="R64" s="122"/>
      <c r="S64" s="122"/>
      <c r="T64" s="122"/>
      <c r="U64" s="129"/>
      <c r="W64" s="134"/>
      <c r="X64" s="134"/>
      <c r="Y64" s="134"/>
      <c r="Z64" s="134"/>
      <c r="AA64" s="134"/>
      <c r="AB64" s="108"/>
      <c r="AC64" s="112"/>
      <c r="AD64" s="134"/>
      <c r="AE64" s="134"/>
      <c r="AF64" s="134"/>
      <c r="AG64" s="134"/>
    </row>
    <row r="65" spans="1:33" ht="13.2" hidden="1" x14ac:dyDescent="0.25">
      <c r="A65" s="134"/>
      <c r="B65" s="36"/>
      <c r="C65" s="36"/>
      <c r="D65" s="36"/>
      <c r="E65" s="36"/>
      <c r="F65" s="36"/>
      <c r="G65" s="122"/>
      <c r="H65" s="129"/>
      <c r="I65" s="122"/>
      <c r="J65" s="122"/>
      <c r="K65" s="122"/>
      <c r="L65" s="122"/>
      <c r="M65" s="122" t="s">
        <v>150</v>
      </c>
      <c r="N65" s="134"/>
      <c r="O65" s="59">
        <v>1.01</v>
      </c>
      <c r="P65" s="59"/>
      <c r="Q65" s="59"/>
      <c r="R65" s="59"/>
      <c r="S65" s="59"/>
      <c r="T65" s="59"/>
      <c r="U65" s="129"/>
      <c r="W65" s="134"/>
      <c r="X65" s="134"/>
      <c r="Y65" s="134"/>
      <c r="Z65" s="134"/>
      <c r="AA65" s="134"/>
      <c r="AB65" s="108"/>
      <c r="AC65" s="112"/>
      <c r="AD65" s="134"/>
      <c r="AE65" s="134"/>
      <c r="AF65" s="134"/>
      <c r="AG65" s="134"/>
    </row>
    <row r="66" spans="1:33" ht="13.2" hidden="1" x14ac:dyDescent="0.25">
      <c r="A66" s="134"/>
      <c r="B66" s="36"/>
      <c r="C66" s="36"/>
      <c r="D66" s="36"/>
      <c r="E66" s="36"/>
      <c r="F66" s="36"/>
      <c r="G66" s="122"/>
      <c r="H66" s="129"/>
      <c r="I66" s="122"/>
      <c r="J66" s="122"/>
      <c r="K66" s="122"/>
      <c r="L66" s="122"/>
      <c r="M66" s="122" t="s">
        <v>151</v>
      </c>
      <c r="N66" s="134"/>
      <c r="O66" s="241">
        <v>1.02</v>
      </c>
      <c r="P66" s="122"/>
      <c r="Q66" s="122"/>
      <c r="R66" s="122"/>
      <c r="S66" s="122"/>
      <c r="T66" s="122"/>
      <c r="U66" s="129"/>
      <c r="W66" s="134"/>
      <c r="X66" s="134"/>
      <c r="Y66" s="134"/>
      <c r="Z66" s="134"/>
      <c r="AA66" s="134"/>
      <c r="AB66" s="108"/>
      <c r="AC66" s="112"/>
      <c r="AD66" s="134"/>
      <c r="AE66" s="134"/>
      <c r="AF66" s="134"/>
      <c r="AG66" s="134"/>
    </row>
    <row r="67" spans="1:33" ht="13.2" hidden="1" x14ac:dyDescent="0.25">
      <c r="A67" s="134"/>
      <c r="B67" s="36"/>
      <c r="C67" s="36"/>
      <c r="D67" s="36"/>
      <c r="E67" s="36"/>
      <c r="F67" s="36"/>
      <c r="G67" s="122"/>
      <c r="H67" s="129"/>
      <c r="I67" s="122"/>
      <c r="J67" s="122"/>
      <c r="K67" s="122"/>
      <c r="L67" s="122"/>
      <c r="M67" s="122"/>
      <c r="N67" s="134"/>
      <c r="O67" s="122"/>
      <c r="P67" s="122"/>
      <c r="Q67" s="122"/>
      <c r="R67" s="122"/>
      <c r="S67" s="122"/>
      <c r="T67" s="122"/>
      <c r="U67" s="129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</row>
    <row r="68" spans="1:33" ht="13.2" hidden="1" x14ac:dyDescent="0.25">
      <c r="A68" s="134"/>
      <c r="B68" s="134"/>
      <c r="C68" s="134"/>
      <c r="D68" s="134"/>
      <c r="E68" s="134"/>
      <c r="F68" s="134"/>
      <c r="G68" s="25"/>
      <c r="H68" s="134"/>
      <c r="I68" s="14"/>
      <c r="J68" s="14"/>
      <c r="K68" s="14"/>
      <c r="L68" s="14"/>
      <c r="M68" s="14"/>
      <c r="N68" s="134"/>
      <c r="O68" s="122"/>
      <c r="P68" s="122"/>
      <c r="Q68" s="122"/>
      <c r="R68" s="122"/>
      <c r="S68" s="122"/>
      <c r="T68" s="122"/>
      <c r="U68" s="129"/>
      <c r="W68" s="134"/>
      <c r="X68" s="134"/>
      <c r="Y68" s="134"/>
      <c r="Z68" s="134"/>
      <c r="AA68" s="134"/>
      <c r="AB68" s="108"/>
      <c r="AC68" s="112"/>
      <c r="AD68" s="134"/>
      <c r="AE68" s="134"/>
      <c r="AF68" s="134"/>
      <c r="AG68" s="134"/>
    </row>
    <row r="69" spans="1:33" ht="13.2" hidden="1" x14ac:dyDescent="0.25">
      <c r="A69" s="134"/>
      <c r="B69" s="134"/>
      <c r="C69" s="134"/>
      <c r="D69" s="134"/>
      <c r="E69" s="134"/>
      <c r="F69" s="134"/>
      <c r="G69" s="25"/>
      <c r="H69" s="134"/>
      <c r="I69" s="14"/>
      <c r="J69" s="14"/>
      <c r="K69" s="14"/>
      <c r="L69" s="14"/>
      <c r="M69" s="14"/>
      <c r="N69" s="134"/>
      <c r="O69" s="122"/>
      <c r="P69" s="122"/>
      <c r="Q69" s="122"/>
      <c r="R69" s="122"/>
      <c r="S69" s="122"/>
      <c r="T69" s="122"/>
      <c r="U69" s="129"/>
      <c r="W69" s="134"/>
      <c r="X69" s="134"/>
      <c r="Y69" s="134"/>
      <c r="Z69" s="134"/>
      <c r="AA69" s="134"/>
      <c r="AB69" s="108"/>
      <c r="AC69" s="112"/>
      <c r="AD69" s="134"/>
      <c r="AE69" s="134"/>
      <c r="AF69" s="134"/>
      <c r="AG69" s="134"/>
    </row>
    <row r="70" spans="1:33" ht="13.2" hidden="1" x14ac:dyDescent="0.25">
      <c r="A70" s="134"/>
      <c r="B70" s="134"/>
      <c r="C70" s="134"/>
      <c r="D70" s="134"/>
      <c r="E70" s="134"/>
      <c r="F70" s="134"/>
      <c r="G70" s="25"/>
      <c r="H70" s="134"/>
      <c r="I70" s="14"/>
      <c r="J70" s="14"/>
      <c r="K70" s="14"/>
      <c r="L70" s="14"/>
      <c r="M70" s="122" t="s">
        <v>152</v>
      </c>
      <c r="N70" s="134"/>
      <c r="O70" s="112">
        <f>O72*0.05/O74*250</f>
        <v>93320.625</v>
      </c>
      <c r="P70" s="122"/>
      <c r="Q70" s="122"/>
      <c r="R70" s="122"/>
      <c r="S70" s="122"/>
      <c r="T70" s="122"/>
      <c r="U70" s="129"/>
      <c r="W70" s="134"/>
      <c r="X70" s="134"/>
      <c r="Y70" s="134"/>
      <c r="Z70" s="134"/>
      <c r="AA70" s="134"/>
      <c r="AB70" s="108"/>
      <c r="AC70" s="112"/>
      <c r="AD70" s="134"/>
      <c r="AE70" s="134"/>
      <c r="AF70" s="134"/>
      <c r="AG70" s="134"/>
    </row>
    <row r="71" spans="1:33" ht="13.2" hidden="1" x14ac:dyDescent="0.25">
      <c r="A71" s="134"/>
      <c r="B71" s="134"/>
      <c r="C71" s="134"/>
      <c r="D71" s="134"/>
      <c r="E71" s="134"/>
      <c r="F71" s="134"/>
      <c r="G71" s="25"/>
      <c r="H71" s="134"/>
      <c r="I71" s="14"/>
      <c r="J71" s="14"/>
      <c r="K71" s="14"/>
      <c r="L71" s="14"/>
      <c r="M71" s="122" t="s">
        <v>153</v>
      </c>
      <c r="N71" s="134"/>
      <c r="O71" s="112">
        <f>+O72*0.05-O70</f>
        <v>18664.125</v>
      </c>
      <c r="P71" s="122"/>
      <c r="Q71" s="122">
        <f>(I11+I12)/O73</f>
        <v>7113.634579005603</v>
      </c>
      <c r="R71" s="122"/>
      <c r="S71" s="122"/>
      <c r="T71" s="122"/>
      <c r="U71" s="129"/>
      <c r="W71" s="134"/>
      <c r="X71" s="134"/>
      <c r="Y71" s="134"/>
      <c r="Z71" s="134"/>
      <c r="AA71" s="134"/>
      <c r="AB71" s="108"/>
      <c r="AC71" s="112"/>
    </row>
    <row r="72" spans="1:33" ht="13.2" hidden="1" x14ac:dyDescent="0.25">
      <c r="A72" s="134"/>
      <c r="B72" s="134"/>
      <c r="C72" s="134"/>
      <c r="D72" s="134"/>
      <c r="E72" s="134"/>
      <c r="F72" s="134"/>
      <c r="G72" s="25"/>
      <c r="H72" s="134"/>
      <c r="I72" s="14"/>
      <c r="J72" s="14"/>
      <c r="K72" s="14"/>
      <c r="L72" s="14"/>
      <c r="M72" s="122" t="s">
        <v>154</v>
      </c>
      <c r="N72" s="134"/>
      <c r="O72" s="112">
        <v>2239695</v>
      </c>
      <c r="P72" s="122"/>
      <c r="Q72" s="122">
        <f>+O72/O74</f>
        <v>7465.65</v>
      </c>
      <c r="R72" s="122"/>
      <c r="S72" s="122"/>
      <c r="T72" s="122"/>
      <c r="U72" s="129"/>
      <c r="V72" s="168"/>
      <c r="W72" s="134"/>
      <c r="X72" s="134"/>
      <c r="Y72" s="134"/>
      <c r="Z72" s="134"/>
      <c r="AA72" s="134"/>
      <c r="AB72" s="134"/>
      <c r="AC72" s="134"/>
    </row>
    <row r="73" spans="1:33" ht="13.2" hidden="1" x14ac:dyDescent="0.25">
      <c r="A73" s="134"/>
      <c r="B73" s="134"/>
      <c r="C73" s="134"/>
      <c r="D73" s="134"/>
      <c r="E73" s="134"/>
      <c r="F73" s="134"/>
      <c r="G73" s="25"/>
      <c r="H73" s="134"/>
      <c r="I73" s="14"/>
      <c r="J73" s="14"/>
      <c r="K73" s="14"/>
      <c r="L73" s="14"/>
      <c r="M73" s="122" t="s">
        <v>155</v>
      </c>
      <c r="N73" s="134"/>
      <c r="O73" s="112">
        <v>280.17</v>
      </c>
      <c r="P73" s="59">
        <f>+O73/EnrOld</f>
        <v>0.57752720976253302</v>
      </c>
      <c r="Q73" s="122">
        <f>Q72-Q71</f>
        <v>352.01542099439666</v>
      </c>
      <c r="R73" s="122"/>
      <c r="S73" s="122"/>
      <c r="T73" s="122"/>
      <c r="U73" s="129"/>
      <c r="W73" s="134"/>
      <c r="X73" s="134"/>
      <c r="Y73" s="134"/>
      <c r="Z73" s="134"/>
      <c r="AA73" s="134"/>
      <c r="AB73" s="134"/>
      <c r="AC73" s="134"/>
    </row>
    <row r="74" spans="1:33" ht="13.2" hidden="1" x14ac:dyDescent="0.25">
      <c r="A74" s="134"/>
      <c r="B74" s="134"/>
      <c r="C74" s="134"/>
      <c r="D74" s="134"/>
      <c r="E74" s="134"/>
      <c r="F74" s="134"/>
      <c r="G74" s="25"/>
      <c r="H74" s="134"/>
      <c r="I74" s="14"/>
      <c r="J74" s="14"/>
      <c r="K74" s="14"/>
      <c r="L74" s="14"/>
      <c r="M74" s="122" t="s">
        <v>156</v>
      </c>
      <c r="N74" s="134"/>
      <c r="O74" s="179">
        <v>300</v>
      </c>
      <c r="P74" s="59">
        <f>+O74/EnrNew</f>
        <v>0.56603773584905659</v>
      </c>
      <c r="Q74" s="27">
        <f>+Q73/Q71</f>
        <v>4.9484608336966898E-2</v>
      </c>
      <c r="R74" s="122"/>
      <c r="S74" s="122"/>
      <c r="T74" s="122"/>
      <c r="U74" s="129"/>
      <c r="W74" s="134"/>
      <c r="X74" s="134"/>
      <c r="Y74" s="134"/>
      <c r="Z74" s="134"/>
      <c r="AA74" s="134"/>
      <c r="AB74" s="134"/>
      <c r="AC74" s="134"/>
    </row>
    <row r="75" spans="1:33" ht="13.2" hidden="1" x14ac:dyDescent="0.25">
      <c r="A75" s="134"/>
      <c r="B75" s="134"/>
      <c r="C75" s="134"/>
      <c r="D75" s="134"/>
      <c r="E75" s="134"/>
      <c r="F75" s="134"/>
      <c r="G75" s="25"/>
      <c r="H75" s="134"/>
      <c r="I75" s="14"/>
      <c r="J75" s="14"/>
      <c r="K75" s="14"/>
      <c r="L75" s="14"/>
      <c r="M75" s="122"/>
      <c r="N75" s="134"/>
      <c r="O75" s="14"/>
      <c r="P75" s="135"/>
      <c r="Q75" s="135"/>
      <c r="R75" s="135"/>
      <c r="S75" s="135"/>
      <c r="T75" s="135"/>
      <c r="U75" s="129"/>
      <c r="W75" s="134"/>
      <c r="X75" s="134"/>
      <c r="Y75" s="134"/>
      <c r="Z75" s="134"/>
      <c r="AA75" s="134"/>
      <c r="AB75" s="134"/>
      <c r="AC75" s="134"/>
    </row>
    <row r="76" spans="1:33" ht="13.2" hidden="1" x14ac:dyDescent="0.25">
      <c r="A76" s="134"/>
      <c r="B76" s="134"/>
      <c r="C76" s="134"/>
      <c r="D76" s="134"/>
      <c r="E76" s="134"/>
      <c r="F76" s="134"/>
      <c r="G76" s="25"/>
      <c r="H76" s="134"/>
      <c r="I76" s="14"/>
      <c r="J76" s="14"/>
      <c r="K76" s="14"/>
      <c r="L76" s="14"/>
      <c r="M76" s="122"/>
      <c r="N76" s="134"/>
      <c r="O76" s="112"/>
      <c r="P76" s="122"/>
      <c r="Q76" s="122"/>
      <c r="R76" s="122"/>
      <c r="S76" s="122"/>
      <c r="T76" s="122"/>
      <c r="U76" s="129"/>
      <c r="W76" s="134"/>
      <c r="X76" s="134"/>
      <c r="Y76" s="134"/>
      <c r="Z76" s="134"/>
      <c r="AA76" s="134"/>
      <c r="AB76" s="134"/>
      <c r="AC76" s="134"/>
    </row>
    <row r="77" spans="1:33" ht="13.2" hidden="1" x14ac:dyDescent="0.25">
      <c r="A77" s="134"/>
      <c r="B77" s="134"/>
      <c r="C77" s="134"/>
      <c r="D77" s="134"/>
      <c r="E77" s="134"/>
      <c r="F77" s="134"/>
      <c r="G77" s="25"/>
      <c r="H77" s="134"/>
      <c r="I77" s="14"/>
      <c r="J77" s="14"/>
      <c r="K77" s="14"/>
      <c r="L77" s="14"/>
      <c r="M77" s="122" t="s">
        <v>157</v>
      </c>
      <c r="N77" s="134"/>
      <c r="O77" s="112">
        <v>204.95</v>
      </c>
      <c r="P77" s="59">
        <f>+O77/EnrOld</f>
        <v>0.42247279023746698</v>
      </c>
      <c r="Q77" s="122"/>
      <c r="R77" s="122"/>
      <c r="S77" s="122"/>
      <c r="T77" s="122"/>
      <c r="U77" s="129"/>
      <c r="W77" s="134"/>
      <c r="X77" s="134"/>
      <c r="Y77" s="134"/>
      <c r="Z77" s="134"/>
      <c r="AA77" s="134"/>
      <c r="AB77" s="134"/>
      <c r="AC77" s="134"/>
    </row>
    <row r="78" spans="1:33" ht="13.2" hidden="1" x14ac:dyDescent="0.25">
      <c r="A78" s="134"/>
      <c r="B78" s="134"/>
      <c r="C78" s="134"/>
      <c r="D78" s="134"/>
      <c r="E78" s="134"/>
      <c r="F78" s="134"/>
      <c r="G78" s="25"/>
      <c r="H78" s="134"/>
      <c r="I78" s="14"/>
      <c r="J78" s="14"/>
      <c r="K78" s="14"/>
      <c r="L78" s="14"/>
      <c r="M78" s="122" t="s">
        <v>158</v>
      </c>
      <c r="N78" s="134"/>
      <c r="O78" s="179">
        <v>230</v>
      </c>
      <c r="P78" s="59">
        <f>+O78/EnrNew</f>
        <v>0.43396226415094341</v>
      </c>
      <c r="Q78" s="122">
        <f>(K11+K12)/O77</f>
        <v>6653.471578433765</v>
      </c>
      <c r="R78" s="122"/>
      <c r="S78" s="122"/>
      <c r="T78" s="122"/>
      <c r="U78" s="129"/>
      <c r="W78" s="134"/>
      <c r="X78" s="134"/>
      <c r="Y78" s="134"/>
      <c r="Z78" s="134"/>
      <c r="AA78" s="134"/>
      <c r="AB78" s="134"/>
      <c r="AC78" s="134"/>
    </row>
    <row r="79" spans="1:33" ht="13.2" hidden="1" x14ac:dyDescent="0.25">
      <c r="A79" s="134"/>
      <c r="B79" s="134"/>
      <c r="C79" s="134"/>
      <c r="D79" s="134"/>
      <c r="E79" s="134"/>
      <c r="F79" s="134"/>
      <c r="G79" s="25"/>
      <c r="H79" s="134"/>
      <c r="I79" s="135"/>
      <c r="J79" s="135"/>
      <c r="K79" s="135"/>
      <c r="L79" s="135"/>
      <c r="M79" s="122" t="s">
        <v>159</v>
      </c>
      <c r="N79" s="134"/>
      <c r="O79" s="112">
        <v>1589438</v>
      </c>
      <c r="P79" s="135"/>
      <c r="Q79" s="122">
        <f>+O79/O78</f>
        <v>6910.6</v>
      </c>
      <c r="R79" s="135"/>
      <c r="S79" s="135"/>
      <c r="T79" s="135"/>
      <c r="U79" s="129"/>
      <c r="V79" s="147"/>
      <c r="W79" s="134"/>
      <c r="X79" s="134"/>
      <c r="Y79" s="134"/>
      <c r="Z79" s="134"/>
      <c r="AA79" s="134"/>
      <c r="AB79" s="134"/>
      <c r="AC79" s="134"/>
    </row>
    <row r="80" spans="1:33" ht="13.2" hidden="1" x14ac:dyDescent="0.25">
      <c r="A80" s="134"/>
      <c r="B80" s="134"/>
      <c r="C80" s="134"/>
      <c r="D80" s="134"/>
      <c r="E80" s="134"/>
      <c r="F80" s="134"/>
      <c r="G80" s="25"/>
      <c r="H80" s="134"/>
      <c r="I80" s="14"/>
      <c r="J80" s="14"/>
      <c r="K80" s="14"/>
      <c r="L80" s="14"/>
      <c r="M80" s="122" t="s">
        <v>160</v>
      </c>
      <c r="N80" s="134"/>
      <c r="O80" s="242">
        <f>(O79*0.05)</f>
        <v>79471.900000000009</v>
      </c>
      <c r="P80" s="135"/>
      <c r="Q80" s="135">
        <f>+Q79-Q78</f>
        <v>257.12842156623537</v>
      </c>
      <c r="R80" s="135"/>
      <c r="S80" s="135"/>
      <c r="T80" s="135"/>
      <c r="U80" s="129"/>
      <c r="W80" s="134"/>
      <c r="X80" s="134"/>
      <c r="Y80" s="134"/>
      <c r="Z80" s="134"/>
      <c r="AA80" s="134"/>
      <c r="AB80" s="134"/>
      <c r="AC80" s="134"/>
    </row>
    <row r="81" spans="1:29" ht="13.2" hidden="1" x14ac:dyDescent="0.25">
      <c r="A81" s="134"/>
      <c r="B81" s="134"/>
      <c r="C81" s="134"/>
      <c r="D81" s="134"/>
      <c r="E81" s="134"/>
      <c r="F81" s="134"/>
      <c r="G81" s="25"/>
      <c r="H81" s="134"/>
      <c r="I81" s="14"/>
      <c r="J81" s="14"/>
      <c r="K81" s="14"/>
      <c r="L81" s="14"/>
      <c r="M81" s="122" t="s">
        <v>161</v>
      </c>
      <c r="N81" s="134"/>
      <c r="O81" s="122">
        <f>+O79*0.05-O80</f>
        <v>0</v>
      </c>
      <c r="P81" s="135"/>
      <c r="Q81" s="27">
        <f>+Q80/Q78</f>
        <v>3.8645753353734727E-2</v>
      </c>
      <c r="R81" s="135"/>
      <c r="S81" s="135"/>
      <c r="T81" s="135"/>
      <c r="U81" s="129"/>
      <c r="W81" s="134"/>
      <c r="X81" s="134"/>
      <c r="Y81" s="134"/>
      <c r="Z81" s="134"/>
      <c r="AA81" s="134"/>
      <c r="AB81" s="134"/>
      <c r="AC81" s="134"/>
    </row>
    <row r="82" spans="1:29" ht="13.2" hidden="1" x14ac:dyDescent="0.25">
      <c r="A82" s="134"/>
      <c r="B82" s="134"/>
      <c r="C82" s="134"/>
      <c r="D82" s="134"/>
      <c r="E82" s="134"/>
      <c r="F82" s="134"/>
      <c r="G82" s="25"/>
      <c r="H82" s="134"/>
      <c r="I82" s="158"/>
      <c r="J82" s="158"/>
      <c r="K82" s="158"/>
      <c r="L82" s="158"/>
      <c r="M82" s="156"/>
      <c r="N82" s="159"/>
      <c r="O82" s="157"/>
      <c r="P82" s="157"/>
      <c r="Q82" s="157"/>
      <c r="R82" s="135"/>
      <c r="S82" s="135"/>
      <c r="T82" s="135"/>
      <c r="U82" s="129"/>
      <c r="W82" s="134"/>
      <c r="X82" s="134"/>
      <c r="Y82" s="134"/>
      <c r="Z82" s="134"/>
      <c r="AA82" s="134"/>
      <c r="AB82" s="134"/>
      <c r="AC82" s="134"/>
    </row>
    <row r="83" spans="1:29" ht="13.2" hidden="1" x14ac:dyDescent="0.25">
      <c r="A83" s="134"/>
      <c r="B83" s="134"/>
      <c r="C83" s="134"/>
      <c r="D83" s="134"/>
      <c r="E83" s="134"/>
      <c r="F83" s="134"/>
      <c r="G83" s="25"/>
      <c r="H83" s="134"/>
      <c r="I83" s="158"/>
      <c r="J83" s="158"/>
      <c r="K83" s="158"/>
      <c r="L83" s="158"/>
      <c r="M83" s="156"/>
      <c r="N83" s="159"/>
      <c r="O83" s="157"/>
      <c r="P83" s="157"/>
      <c r="Q83" s="160"/>
      <c r="R83" s="135"/>
      <c r="S83" s="135"/>
      <c r="T83" s="135"/>
      <c r="U83" s="129"/>
      <c r="W83" s="134"/>
      <c r="X83" s="134"/>
      <c r="Y83" s="134"/>
      <c r="Z83" s="134"/>
      <c r="AA83" s="134"/>
      <c r="AB83" s="134"/>
      <c r="AC83" s="134"/>
    </row>
    <row r="84" spans="1:29" ht="13.2" hidden="1" x14ac:dyDescent="0.25">
      <c r="A84" s="134"/>
      <c r="B84" s="134"/>
      <c r="C84" s="134"/>
      <c r="D84" s="134"/>
      <c r="E84" s="134"/>
      <c r="F84" s="134"/>
      <c r="G84" s="25"/>
      <c r="H84" s="134"/>
      <c r="I84" s="158"/>
      <c r="J84" s="158"/>
      <c r="K84" s="158"/>
      <c r="L84" s="158"/>
      <c r="M84" s="156"/>
      <c r="N84" s="4"/>
      <c r="O84" s="155"/>
      <c r="P84" s="160"/>
      <c r="Q84" s="155"/>
      <c r="R84" s="135"/>
      <c r="S84" s="135"/>
      <c r="T84" s="135"/>
      <c r="U84" s="129"/>
      <c r="W84" s="134"/>
      <c r="X84" s="134"/>
      <c r="Y84" s="134"/>
      <c r="Z84" s="134"/>
      <c r="AA84" s="134"/>
      <c r="AB84" s="134"/>
      <c r="AC84" s="134"/>
    </row>
    <row r="85" spans="1:29" ht="13.2" hidden="1" x14ac:dyDescent="0.25">
      <c r="A85" s="134"/>
      <c r="B85" s="26"/>
      <c r="C85" s="26"/>
      <c r="D85" s="26"/>
      <c r="E85" s="26"/>
      <c r="F85" s="134"/>
      <c r="G85" s="25"/>
      <c r="H85" s="134"/>
      <c r="I85" s="158"/>
      <c r="J85" s="158"/>
      <c r="K85" s="158"/>
      <c r="L85" s="158"/>
      <c r="M85" s="156"/>
      <c r="N85" s="4"/>
      <c r="O85" s="155"/>
      <c r="P85" s="160"/>
      <c r="Q85" s="155"/>
      <c r="R85" s="135"/>
      <c r="S85" s="135"/>
      <c r="T85" s="135"/>
      <c r="U85" s="129"/>
      <c r="W85" s="134"/>
      <c r="X85" s="134"/>
      <c r="Y85" s="134"/>
      <c r="Z85" s="134"/>
      <c r="AA85" s="134"/>
      <c r="AB85" s="134"/>
      <c r="AC85" s="134"/>
    </row>
    <row r="86" spans="1:29" ht="13.2" hidden="1" x14ac:dyDescent="0.25">
      <c r="A86" s="134"/>
      <c r="B86" s="134"/>
      <c r="C86" s="134"/>
      <c r="D86" s="134"/>
      <c r="E86" s="134"/>
      <c r="F86" s="134"/>
      <c r="G86" s="25"/>
      <c r="H86" s="134"/>
      <c r="I86" s="158"/>
      <c r="J86" s="158"/>
      <c r="K86" s="158"/>
      <c r="L86" s="158"/>
      <c r="M86" s="156"/>
      <c r="N86" s="4"/>
      <c r="O86" s="155"/>
      <c r="P86" s="160"/>
      <c r="Q86" s="160"/>
      <c r="R86" s="135"/>
      <c r="S86" s="135"/>
      <c r="T86" s="135"/>
      <c r="U86" s="129"/>
      <c r="W86" s="134"/>
      <c r="X86" s="134"/>
      <c r="Y86" s="134"/>
      <c r="Z86" s="134"/>
      <c r="AA86" s="134"/>
      <c r="AB86" s="134"/>
      <c r="AC86" s="134"/>
    </row>
    <row r="87" spans="1:29" ht="13.2" hidden="1" x14ac:dyDescent="0.25">
      <c r="A87" s="134"/>
      <c r="B87" s="134"/>
      <c r="C87" s="134"/>
      <c r="D87" s="134"/>
      <c r="E87" s="134"/>
      <c r="F87" s="134"/>
      <c r="G87" s="25"/>
      <c r="H87" s="134"/>
      <c r="I87" s="158"/>
      <c r="J87" s="158"/>
      <c r="K87" s="158"/>
      <c r="L87" s="158"/>
      <c r="M87" s="156"/>
      <c r="N87" s="4"/>
      <c r="O87" s="156"/>
      <c r="P87" s="160"/>
      <c r="Q87" s="160"/>
      <c r="R87" s="135"/>
      <c r="S87" s="135"/>
      <c r="T87" s="135"/>
    </row>
    <row r="88" spans="1:29" ht="13.2" hidden="1" x14ac:dyDescent="0.25">
      <c r="A88" s="134"/>
      <c r="B88" s="134"/>
      <c r="C88" s="134"/>
      <c r="D88" s="134"/>
      <c r="E88" s="134"/>
      <c r="F88" s="134"/>
      <c r="G88" s="25"/>
      <c r="H88" s="134"/>
      <c r="I88" s="158"/>
      <c r="J88" s="158"/>
      <c r="K88" s="158"/>
      <c r="L88" s="158"/>
      <c r="M88" s="156"/>
      <c r="N88" s="4"/>
      <c r="O88" s="156"/>
      <c r="P88" s="160"/>
      <c r="Q88" s="160"/>
      <c r="R88" s="135"/>
      <c r="S88" s="135"/>
      <c r="T88" s="135"/>
    </row>
    <row r="89" spans="1:29" ht="13.2" hidden="1" x14ac:dyDescent="0.25">
      <c r="A89" s="134"/>
      <c r="B89" s="134"/>
      <c r="C89" s="134"/>
      <c r="D89" s="134"/>
      <c r="E89" s="134"/>
      <c r="F89" s="134"/>
      <c r="G89" s="25"/>
      <c r="H89" s="134"/>
      <c r="I89" s="158"/>
      <c r="J89" s="158"/>
      <c r="K89" s="158"/>
      <c r="L89" s="158"/>
      <c r="M89" s="156"/>
      <c r="N89" s="4"/>
      <c r="O89" s="157"/>
      <c r="P89" s="160"/>
      <c r="Q89" s="160"/>
      <c r="R89" s="135"/>
      <c r="S89" s="135"/>
      <c r="T89" s="135"/>
    </row>
    <row r="90" spans="1:29" ht="13.2" hidden="1" x14ac:dyDescent="0.25">
      <c r="A90" s="134"/>
      <c r="B90" s="134"/>
      <c r="C90" s="134"/>
      <c r="D90" s="134"/>
      <c r="E90" s="134"/>
      <c r="F90" s="134"/>
      <c r="G90" s="25"/>
      <c r="H90" s="134"/>
      <c r="I90" s="158"/>
      <c r="J90" s="158"/>
      <c r="K90" s="158"/>
      <c r="L90" s="158"/>
      <c r="M90" s="156"/>
      <c r="N90" s="4"/>
      <c r="O90" s="157"/>
      <c r="P90" s="160"/>
      <c r="Q90" s="155"/>
      <c r="R90" s="135"/>
      <c r="S90" s="135"/>
      <c r="T90" s="135"/>
    </row>
    <row r="91" spans="1:29" ht="13.2" hidden="1" x14ac:dyDescent="0.25">
      <c r="A91" s="134"/>
      <c r="B91" s="134"/>
      <c r="C91" s="134"/>
      <c r="D91" s="134"/>
      <c r="E91" s="134"/>
      <c r="F91" s="134"/>
      <c r="G91" s="25"/>
      <c r="H91" s="134"/>
      <c r="I91" s="158"/>
      <c r="J91" s="158"/>
      <c r="K91" s="158"/>
      <c r="L91" s="158"/>
      <c r="M91" s="156"/>
      <c r="N91" s="4"/>
      <c r="O91" s="157"/>
      <c r="P91" s="160"/>
      <c r="Q91" s="160"/>
      <c r="R91" s="135"/>
      <c r="S91" s="135"/>
      <c r="T91" s="135"/>
    </row>
    <row r="92" spans="1:29" ht="13.2" hidden="1" x14ac:dyDescent="0.25">
      <c r="A92" s="134"/>
      <c r="B92" s="134"/>
      <c r="C92" s="134"/>
      <c r="D92" s="134"/>
      <c r="E92" s="134"/>
      <c r="F92" s="134"/>
      <c r="G92" s="25"/>
      <c r="H92" s="134"/>
      <c r="I92" s="158"/>
      <c r="J92" s="158"/>
      <c r="K92" s="158"/>
      <c r="L92" s="158"/>
      <c r="M92" s="156"/>
      <c r="N92" s="4"/>
      <c r="O92" s="157"/>
      <c r="P92" s="160"/>
      <c r="Q92" s="160"/>
      <c r="R92" s="135"/>
      <c r="S92" s="135"/>
      <c r="T92" s="135"/>
    </row>
    <row r="93" spans="1:29" ht="13.2" hidden="1" x14ac:dyDescent="0.25">
      <c r="A93" s="134"/>
      <c r="B93" s="134"/>
      <c r="C93" s="134"/>
      <c r="D93" s="134"/>
      <c r="E93" s="134"/>
      <c r="F93" s="134"/>
      <c r="G93" s="25"/>
      <c r="H93" s="134"/>
      <c r="I93" s="158"/>
      <c r="J93" s="158"/>
      <c r="K93" s="158"/>
      <c r="L93" s="158"/>
      <c r="M93" s="156"/>
      <c r="N93" s="4"/>
      <c r="O93" s="157"/>
      <c r="P93" s="160"/>
      <c r="Q93" s="160"/>
      <c r="R93" s="135"/>
      <c r="S93" s="135"/>
      <c r="T93" s="135"/>
    </row>
    <row r="94" spans="1:29" ht="13.2" hidden="1" x14ac:dyDescent="0.25">
      <c r="A94" s="134"/>
      <c r="B94" s="134"/>
      <c r="C94" s="134"/>
      <c r="D94" s="134"/>
      <c r="E94" s="134"/>
      <c r="F94" s="134"/>
      <c r="G94" s="25"/>
      <c r="H94" s="134"/>
      <c r="I94" s="14"/>
      <c r="J94" s="14"/>
      <c r="K94" s="14"/>
      <c r="L94" s="14"/>
      <c r="M94" s="156"/>
      <c r="N94" s="4"/>
      <c r="O94" s="157"/>
      <c r="P94" s="160"/>
      <c r="Q94" s="155"/>
      <c r="R94" s="135"/>
      <c r="S94" s="135"/>
      <c r="T94" s="135"/>
    </row>
    <row r="95" spans="1:29" ht="13.2" hidden="1" x14ac:dyDescent="0.25">
      <c r="A95" s="134"/>
      <c r="B95" s="134"/>
      <c r="C95" s="134"/>
      <c r="D95" s="134"/>
      <c r="E95" s="134"/>
      <c r="F95" s="134"/>
      <c r="G95" s="25"/>
      <c r="H95" s="134"/>
      <c r="I95" s="14"/>
      <c r="J95" s="14"/>
      <c r="K95" s="14"/>
      <c r="L95" s="14"/>
      <c r="M95" s="158"/>
      <c r="N95" s="159"/>
      <c r="O95" s="157"/>
      <c r="P95" s="157"/>
      <c r="Q95" s="157"/>
      <c r="R95" s="135"/>
      <c r="S95" s="135"/>
      <c r="T95" s="135"/>
    </row>
    <row r="96" spans="1:29" ht="13.2" hidden="1" x14ac:dyDescent="0.25">
      <c r="A96" s="134"/>
      <c r="B96" s="134"/>
      <c r="C96" s="134"/>
      <c r="D96" s="134"/>
      <c r="E96" s="134"/>
      <c r="F96" s="134"/>
      <c r="G96" s="25"/>
      <c r="H96" s="134"/>
      <c r="I96" s="14"/>
      <c r="J96" s="14"/>
      <c r="K96" s="14"/>
      <c r="L96" s="14"/>
      <c r="M96" s="158"/>
      <c r="N96" s="159"/>
      <c r="O96" s="157"/>
      <c r="P96" s="157"/>
      <c r="Q96" s="157"/>
      <c r="R96" s="135"/>
      <c r="S96" s="135"/>
      <c r="T96" s="135"/>
    </row>
    <row r="97" spans="1:20" ht="13.2" hidden="1" x14ac:dyDescent="0.25">
      <c r="A97" s="134"/>
      <c r="B97" s="134"/>
      <c r="C97" s="134"/>
      <c r="D97" s="134"/>
      <c r="E97" s="134"/>
      <c r="F97" s="134"/>
      <c r="G97" s="25"/>
      <c r="H97" s="134"/>
      <c r="I97" s="14"/>
      <c r="J97" s="14"/>
      <c r="K97" s="14"/>
      <c r="L97" s="14"/>
      <c r="M97" s="156"/>
      <c r="N97" s="159"/>
      <c r="O97" s="157"/>
      <c r="P97" s="157"/>
      <c r="Q97" s="157"/>
      <c r="R97" s="135"/>
      <c r="S97" s="135"/>
      <c r="T97" s="135"/>
    </row>
    <row r="98" spans="1:20" ht="13.2" hidden="1" x14ac:dyDescent="0.25">
      <c r="A98" s="134"/>
      <c r="B98" s="134"/>
      <c r="C98" s="134"/>
      <c r="D98" s="134"/>
      <c r="E98" s="134"/>
      <c r="F98" s="134"/>
      <c r="G98" s="25"/>
      <c r="H98" s="134"/>
      <c r="I98" s="14"/>
      <c r="J98" s="14"/>
      <c r="K98" s="14"/>
      <c r="L98" s="14"/>
      <c r="M98" s="156"/>
      <c r="N98" s="4"/>
      <c r="O98" s="155"/>
      <c r="P98" s="160"/>
      <c r="Q98" s="155"/>
      <c r="R98" s="135"/>
      <c r="S98" s="135"/>
      <c r="T98" s="135"/>
    </row>
    <row r="99" spans="1:20" ht="13.2" hidden="1" x14ac:dyDescent="0.25">
      <c r="A99" s="134"/>
      <c r="B99" s="26"/>
      <c r="C99" s="26"/>
      <c r="D99" s="26"/>
      <c r="E99" s="26"/>
      <c r="F99" s="134"/>
      <c r="G99" s="25"/>
      <c r="H99" s="134"/>
      <c r="I99" s="14"/>
      <c r="J99" s="14"/>
      <c r="K99" s="14"/>
      <c r="L99" s="14"/>
      <c r="M99" s="156"/>
      <c r="N99" s="4"/>
      <c r="O99" s="155"/>
      <c r="P99" s="160"/>
      <c r="Q99" s="155"/>
      <c r="R99" s="135"/>
      <c r="S99" s="135"/>
      <c r="T99" s="135"/>
    </row>
    <row r="100" spans="1:20" ht="13.2" hidden="1" x14ac:dyDescent="0.25">
      <c r="A100" s="134"/>
      <c r="B100" s="134"/>
      <c r="C100" s="134"/>
      <c r="D100" s="134"/>
      <c r="E100" s="134"/>
      <c r="F100" s="134"/>
      <c r="G100" s="25"/>
      <c r="H100" s="134"/>
      <c r="I100" s="14"/>
      <c r="J100" s="14"/>
      <c r="K100" s="14"/>
      <c r="L100" s="14"/>
      <c r="M100" s="156"/>
      <c r="N100" s="4"/>
      <c r="O100" s="155"/>
      <c r="P100" s="160"/>
      <c r="Q100" s="155"/>
      <c r="R100" s="135"/>
      <c r="S100" s="135"/>
      <c r="T100" s="135"/>
    </row>
    <row r="101" spans="1:20" ht="13.2" hidden="1" x14ac:dyDescent="0.25">
      <c r="A101" s="134"/>
      <c r="B101" s="134"/>
      <c r="C101" s="134"/>
      <c r="D101" s="134"/>
      <c r="E101" s="134"/>
      <c r="F101" s="134"/>
      <c r="G101" s="25"/>
      <c r="H101" s="134"/>
      <c r="I101" s="14"/>
      <c r="J101" s="14"/>
      <c r="K101" s="14"/>
      <c r="L101" s="14"/>
      <c r="M101" s="156"/>
      <c r="N101" s="4"/>
      <c r="O101" s="156"/>
      <c r="P101" s="160"/>
      <c r="Q101" s="155"/>
      <c r="R101" s="135"/>
      <c r="S101" s="135"/>
      <c r="T101" s="135"/>
    </row>
    <row r="102" spans="1:20" ht="13.2" hidden="1" x14ac:dyDescent="0.25">
      <c r="A102" s="134"/>
      <c r="B102" s="134"/>
      <c r="C102" s="134"/>
      <c r="D102" s="134"/>
      <c r="E102" s="134"/>
      <c r="F102" s="134"/>
      <c r="G102" s="25"/>
      <c r="H102" s="134"/>
      <c r="I102" s="14"/>
      <c r="J102" s="14"/>
      <c r="K102" s="14"/>
      <c r="L102" s="14"/>
      <c r="M102" s="156"/>
      <c r="N102" s="4"/>
      <c r="O102" s="156"/>
      <c r="P102" s="160"/>
      <c r="Q102" s="155"/>
      <c r="R102" s="135"/>
      <c r="S102" s="135"/>
      <c r="T102" s="135"/>
    </row>
    <row r="103" spans="1:20" ht="13.2" hidden="1" x14ac:dyDescent="0.25">
      <c r="A103" s="134"/>
      <c r="B103" s="134"/>
      <c r="C103" s="134"/>
      <c r="D103" s="134"/>
      <c r="E103" s="134"/>
      <c r="F103" s="134"/>
      <c r="G103" s="25"/>
      <c r="H103" s="134"/>
      <c r="I103" s="14"/>
      <c r="J103" s="14"/>
      <c r="K103" s="14"/>
      <c r="L103" s="14"/>
      <c r="M103" s="156"/>
      <c r="N103" s="4"/>
      <c r="O103" s="157"/>
      <c r="P103" s="160"/>
      <c r="Q103" s="155"/>
      <c r="R103" s="135"/>
      <c r="S103" s="135"/>
      <c r="T103" s="135"/>
    </row>
    <row r="104" spans="1:20" ht="13.2" hidden="1" x14ac:dyDescent="0.25">
      <c r="A104" s="134"/>
      <c r="B104" s="134"/>
      <c r="C104" s="134"/>
      <c r="D104" s="134"/>
      <c r="E104" s="134"/>
      <c r="F104" s="134"/>
      <c r="G104" s="25"/>
      <c r="H104" s="134"/>
      <c r="I104" s="14"/>
      <c r="J104" s="14"/>
      <c r="K104" s="14"/>
      <c r="L104" s="14"/>
      <c r="M104" s="156"/>
      <c r="N104" s="4"/>
      <c r="O104" s="157"/>
      <c r="P104" s="160"/>
      <c r="Q104" s="155"/>
      <c r="R104" s="135"/>
      <c r="S104" s="135"/>
      <c r="T104" s="135"/>
    </row>
    <row r="105" spans="1:20" ht="13.2" hidden="1" x14ac:dyDescent="0.25">
      <c r="A105" s="134"/>
      <c r="B105" s="134"/>
      <c r="C105" s="134"/>
      <c r="D105" s="134"/>
      <c r="E105" s="134"/>
      <c r="F105" s="134"/>
      <c r="G105" s="25"/>
      <c r="H105" s="134"/>
      <c r="I105" s="14"/>
      <c r="J105" s="14"/>
      <c r="K105" s="14"/>
      <c r="L105" s="14"/>
      <c r="M105" s="156"/>
      <c r="N105" s="4"/>
      <c r="O105" s="157"/>
      <c r="P105" s="160"/>
      <c r="Q105" s="155"/>
      <c r="R105" s="135"/>
      <c r="S105" s="135"/>
      <c r="T105" s="135"/>
    </row>
    <row r="106" spans="1:20" ht="13.2" hidden="1" x14ac:dyDescent="0.25">
      <c r="A106" s="134"/>
      <c r="B106" s="134"/>
      <c r="C106" s="134"/>
      <c r="D106" s="134"/>
      <c r="E106" s="134"/>
      <c r="F106" s="134"/>
      <c r="G106" s="25"/>
      <c r="H106" s="134"/>
      <c r="I106" s="14"/>
      <c r="J106" s="14"/>
      <c r="K106" s="14"/>
      <c r="L106" s="14"/>
      <c r="M106" s="156"/>
      <c r="N106" s="4"/>
      <c r="O106" s="157"/>
      <c r="P106" s="160"/>
      <c r="Q106" s="155"/>
      <c r="R106" s="135"/>
      <c r="S106" s="135"/>
      <c r="T106" s="135"/>
    </row>
    <row r="107" spans="1:20" ht="13.2" hidden="1" x14ac:dyDescent="0.25">
      <c r="A107" s="134"/>
      <c r="B107" s="134"/>
      <c r="C107" s="134"/>
      <c r="D107" s="134"/>
      <c r="E107" s="134"/>
      <c r="F107" s="134"/>
      <c r="G107" s="25"/>
      <c r="H107" s="134"/>
      <c r="I107" s="14"/>
      <c r="J107" s="14"/>
      <c r="K107" s="14"/>
      <c r="L107" s="14"/>
      <c r="M107" s="156"/>
      <c r="N107" s="4"/>
      <c r="O107" s="157"/>
      <c r="P107" s="160"/>
      <c r="Q107" s="157"/>
      <c r="R107" s="135"/>
      <c r="S107" s="135"/>
      <c r="T107" s="135"/>
    </row>
    <row r="108" spans="1:20" ht="13.2" hidden="1" x14ac:dyDescent="0.25">
      <c r="A108" s="134"/>
      <c r="B108" s="134"/>
      <c r="C108" s="134"/>
      <c r="D108" s="134"/>
      <c r="E108" s="134"/>
      <c r="F108" s="134"/>
      <c r="G108" s="25"/>
      <c r="H108" s="134"/>
      <c r="I108" s="14"/>
      <c r="J108" s="14"/>
      <c r="K108" s="14"/>
      <c r="L108" s="14"/>
      <c r="M108" s="156"/>
      <c r="N108" s="4"/>
      <c r="O108" s="157"/>
      <c r="P108" s="160"/>
      <c r="Q108" s="155"/>
      <c r="R108" s="135"/>
      <c r="S108" s="135"/>
      <c r="T108" s="135"/>
    </row>
    <row r="109" spans="1:20" ht="13.2" hidden="1" x14ac:dyDescent="0.25">
      <c r="A109" s="134"/>
      <c r="B109" s="134"/>
      <c r="C109" s="134"/>
      <c r="D109" s="134"/>
      <c r="E109" s="134"/>
      <c r="F109" s="134"/>
      <c r="G109" s="25"/>
      <c r="H109" s="134"/>
      <c r="I109" s="14"/>
      <c r="J109" s="14"/>
      <c r="K109" s="14"/>
      <c r="L109" s="14"/>
      <c r="M109" s="158"/>
      <c r="N109" s="159"/>
      <c r="O109" s="157"/>
      <c r="P109" s="157"/>
      <c r="Q109" s="157"/>
      <c r="R109" s="135"/>
      <c r="S109" s="135"/>
      <c r="T109" s="135"/>
    </row>
    <row r="110" spans="1:20" ht="13.2" hidden="1" x14ac:dyDescent="0.25">
      <c r="A110" s="134"/>
      <c r="B110" s="134"/>
      <c r="C110" s="134"/>
      <c r="D110" s="134"/>
      <c r="E110" s="134"/>
      <c r="F110" s="134"/>
      <c r="G110" s="25"/>
      <c r="H110" s="134"/>
      <c r="I110" s="14"/>
      <c r="J110" s="14"/>
      <c r="K110" s="14"/>
      <c r="L110" s="14"/>
      <c r="M110" s="158"/>
      <c r="N110" s="159"/>
      <c r="O110" s="157"/>
      <c r="P110" s="157"/>
      <c r="Q110" s="157"/>
      <c r="R110" s="135"/>
      <c r="S110" s="135"/>
      <c r="T110" s="135"/>
    </row>
    <row r="111" spans="1:20" ht="13.2" hidden="1" x14ac:dyDescent="0.25">
      <c r="A111" s="134"/>
      <c r="B111" s="134"/>
      <c r="C111" s="134"/>
      <c r="D111" s="134"/>
      <c r="E111" s="134"/>
      <c r="F111" s="134"/>
      <c r="G111" s="25"/>
      <c r="H111" s="134"/>
      <c r="I111" s="14"/>
      <c r="J111" s="14"/>
      <c r="K111" s="14"/>
      <c r="L111" s="14"/>
      <c r="M111" s="158"/>
      <c r="N111" s="159"/>
      <c r="O111" s="157"/>
      <c r="P111" s="157"/>
      <c r="Q111" s="157"/>
      <c r="R111" s="135"/>
      <c r="S111" s="135"/>
      <c r="T111" s="135"/>
    </row>
    <row r="112" spans="1:20" ht="13.2" hidden="1" x14ac:dyDescent="0.25">
      <c r="A112" s="134"/>
      <c r="B112" s="134"/>
      <c r="C112" s="134"/>
      <c r="D112" s="134"/>
      <c r="E112" s="134"/>
      <c r="F112" s="134"/>
      <c r="G112" s="25"/>
      <c r="H112" s="134"/>
      <c r="I112" s="14"/>
      <c r="J112" s="14"/>
      <c r="K112" s="14"/>
      <c r="L112" s="14"/>
      <c r="M112" s="158"/>
      <c r="N112" s="159"/>
      <c r="O112" s="157"/>
      <c r="P112" s="157"/>
      <c r="Q112" s="157"/>
      <c r="R112" s="135"/>
      <c r="S112" s="135"/>
      <c r="T112" s="135"/>
    </row>
    <row r="113" spans="1:20" ht="13.2" hidden="1" x14ac:dyDescent="0.25">
      <c r="A113" s="134"/>
      <c r="B113" s="134"/>
      <c r="C113" s="134"/>
      <c r="D113" s="134"/>
      <c r="E113" s="134"/>
      <c r="F113" s="134"/>
      <c r="G113" s="25"/>
      <c r="H113" s="134"/>
      <c r="I113" s="14"/>
      <c r="J113" s="14"/>
      <c r="K113" s="14"/>
      <c r="L113" s="14"/>
      <c r="M113" s="158"/>
      <c r="N113" s="159"/>
      <c r="O113" s="157"/>
      <c r="P113" s="157"/>
      <c r="Q113" s="157"/>
      <c r="R113" s="135"/>
      <c r="S113" s="135"/>
      <c r="T113" s="135"/>
    </row>
    <row r="114" spans="1:20" ht="13.2" hidden="1" x14ac:dyDescent="0.25">
      <c r="A114" s="134"/>
      <c r="B114" s="134"/>
      <c r="C114" s="134"/>
      <c r="D114" s="134"/>
      <c r="E114" s="134"/>
      <c r="F114" s="134"/>
      <c r="G114" s="25"/>
      <c r="H114" s="134"/>
      <c r="I114" s="14"/>
      <c r="J114" s="14"/>
      <c r="K114" s="14"/>
      <c r="L114" s="14"/>
      <c r="M114" s="158"/>
      <c r="N114" s="159"/>
      <c r="O114" s="157"/>
      <c r="P114" s="157"/>
      <c r="Q114" s="157"/>
      <c r="R114" s="135"/>
      <c r="S114" s="135"/>
      <c r="T114" s="135"/>
    </row>
    <row r="115" spans="1:20" ht="13.2" hidden="1" x14ac:dyDescent="0.25">
      <c r="A115" s="134"/>
      <c r="B115" s="134"/>
      <c r="C115" s="134"/>
      <c r="D115" s="134"/>
      <c r="E115" s="134"/>
      <c r="F115" s="134"/>
      <c r="G115" s="25"/>
      <c r="H115" s="134"/>
      <c r="I115" s="14"/>
      <c r="J115" s="14"/>
      <c r="K115" s="14"/>
      <c r="L115" s="14"/>
      <c r="M115" s="158"/>
      <c r="N115" s="159"/>
      <c r="O115" s="157"/>
      <c r="P115" s="157"/>
      <c r="Q115" s="157"/>
      <c r="R115" s="135"/>
      <c r="S115" s="135"/>
      <c r="T115" s="135"/>
    </row>
    <row r="116" spans="1:20" ht="13.2" hidden="1" x14ac:dyDescent="0.25">
      <c r="A116" s="134"/>
      <c r="B116" s="134"/>
      <c r="C116" s="134"/>
      <c r="D116" s="134"/>
      <c r="E116" s="134"/>
      <c r="F116" s="134"/>
      <c r="G116" s="25"/>
      <c r="H116" s="134"/>
      <c r="I116" s="14"/>
      <c r="J116" s="14"/>
      <c r="K116" s="14"/>
      <c r="L116" s="14"/>
      <c r="M116" s="158"/>
      <c r="N116" s="159"/>
      <c r="O116" s="157"/>
      <c r="P116" s="157"/>
      <c r="Q116" s="157"/>
      <c r="R116" s="135"/>
      <c r="S116" s="135"/>
      <c r="T116" s="135"/>
    </row>
    <row r="117" spans="1:20" ht="13.2" hidden="1" x14ac:dyDescent="0.25">
      <c r="A117" s="134"/>
      <c r="B117" s="134"/>
      <c r="C117" s="134"/>
      <c r="D117" s="134"/>
      <c r="E117" s="134"/>
      <c r="F117" s="134"/>
      <c r="G117" s="25"/>
      <c r="H117" s="134"/>
      <c r="I117" s="14"/>
      <c r="J117" s="14"/>
      <c r="K117" s="14"/>
      <c r="L117" s="14"/>
      <c r="M117" s="158"/>
      <c r="N117" s="159"/>
      <c r="O117" s="157"/>
      <c r="P117" s="157"/>
      <c r="Q117" s="157"/>
      <c r="R117" s="135"/>
      <c r="S117" s="135"/>
      <c r="T117" s="135"/>
    </row>
    <row r="118" spans="1:20" ht="13.2" hidden="1" x14ac:dyDescent="0.25">
      <c r="A118" s="134"/>
      <c r="B118" s="134"/>
      <c r="C118" s="134"/>
      <c r="D118" s="134"/>
      <c r="E118" s="134"/>
      <c r="F118" s="134"/>
      <c r="G118" s="25"/>
      <c r="H118" s="134"/>
      <c r="I118" s="14"/>
      <c r="J118" s="14"/>
      <c r="K118" s="14"/>
      <c r="L118" s="14"/>
      <c r="M118" s="158"/>
      <c r="N118" s="159"/>
      <c r="O118" s="157"/>
      <c r="P118" s="157"/>
      <c r="Q118" s="157"/>
      <c r="R118" s="135"/>
      <c r="S118" s="135"/>
      <c r="T118" s="135"/>
    </row>
    <row r="119" spans="1:20" ht="13.2" hidden="1" x14ac:dyDescent="0.25">
      <c r="A119" s="134"/>
      <c r="B119" s="134"/>
      <c r="C119" s="134"/>
      <c r="D119" s="134"/>
      <c r="E119" s="134"/>
      <c r="F119" s="134"/>
      <c r="G119" s="25"/>
      <c r="H119" s="134"/>
      <c r="I119" s="14"/>
      <c r="J119" s="14"/>
      <c r="K119" s="14"/>
      <c r="L119" s="14"/>
      <c r="M119" s="158"/>
      <c r="N119" s="159"/>
      <c r="O119" s="157"/>
      <c r="P119" s="157"/>
      <c r="Q119" s="157"/>
      <c r="R119" s="135"/>
      <c r="S119" s="135"/>
      <c r="T119" s="135"/>
    </row>
    <row r="120" spans="1:20" ht="13.2" hidden="1" x14ac:dyDescent="0.25">
      <c r="A120" s="134"/>
      <c r="B120" s="26"/>
      <c r="C120" s="26"/>
      <c r="D120" s="26"/>
      <c r="E120" s="26"/>
      <c r="F120" s="134"/>
      <c r="G120" s="25"/>
      <c r="H120" s="134"/>
      <c r="I120" s="14"/>
      <c r="J120" s="14"/>
      <c r="K120" s="14"/>
      <c r="L120" s="14"/>
      <c r="M120" s="158"/>
      <c r="N120" s="159"/>
      <c r="O120" s="157"/>
      <c r="P120" s="157"/>
      <c r="Q120" s="157"/>
      <c r="R120" s="135"/>
      <c r="S120" s="135"/>
      <c r="T120" s="135"/>
    </row>
    <row r="121" spans="1:20" ht="13.2" hidden="1" x14ac:dyDescent="0.25">
      <c r="A121" s="134"/>
      <c r="B121" s="26"/>
      <c r="C121" s="26"/>
      <c r="D121" s="26"/>
      <c r="E121" s="26"/>
      <c r="F121" s="134"/>
      <c r="G121" s="25"/>
      <c r="H121" s="134"/>
      <c r="I121" s="14"/>
      <c r="J121" s="14"/>
      <c r="K121" s="14"/>
      <c r="L121" s="14"/>
      <c r="M121" s="158"/>
      <c r="N121" s="159"/>
      <c r="O121" s="157"/>
      <c r="P121" s="157"/>
      <c r="Q121" s="157"/>
      <c r="R121" s="135"/>
      <c r="S121" s="135"/>
      <c r="T121" s="135"/>
    </row>
    <row r="122" spans="1:20" ht="13.2" hidden="1" x14ac:dyDescent="0.25">
      <c r="A122" s="134"/>
      <c r="B122" s="134"/>
      <c r="C122" s="134"/>
      <c r="D122" s="134"/>
      <c r="E122" s="134"/>
      <c r="F122" s="134"/>
      <c r="G122" s="25"/>
      <c r="H122" s="134"/>
      <c r="I122" s="14"/>
      <c r="J122" s="14"/>
      <c r="K122" s="14"/>
      <c r="L122" s="14"/>
      <c r="M122" s="158"/>
      <c r="N122" s="159"/>
      <c r="O122" s="157"/>
      <c r="P122" s="157"/>
      <c r="Q122" s="157"/>
      <c r="R122" s="135"/>
      <c r="S122" s="135"/>
      <c r="T122" s="135"/>
    </row>
    <row r="123" spans="1:20" ht="13.2" hidden="1" x14ac:dyDescent="0.25">
      <c r="A123" s="134"/>
      <c r="B123" s="134"/>
      <c r="C123" s="134"/>
      <c r="D123" s="134"/>
      <c r="E123" s="134"/>
      <c r="F123" s="134"/>
      <c r="G123" s="25"/>
      <c r="H123" s="134"/>
      <c r="I123" s="14"/>
      <c r="J123" s="14"/>
      <c r="K123" s="14"/>
      <c r="L123" s="14"/>
      <c r="M123" s="14"/>
      <c r="N123" s="134"/>
      <c r="O123" s="135"/>
      <c r="P123" s="135"/>
      <c r="Q123" s="135"/>
      <c r="R123" s="135"/>
      <c r="S123" s="135"/>
      <c r="T123" s="135"/>
    </row>
    <row r="124" spans="1:20" ht="13.2" hidden="1" x14ac:dyDescent="0.25">
      <c r="A124" s="134"/>
      <c r="B124" s="24"/>
      <c r="C124" s="24"/>
      <c r="D124" s="24"/>
      <c r="E124" s="24"/>
      <c r="F124" s="134"/>
      <c r="G124" s="25"/>
      <c r="H124" s="134"/>
      <c r="I124" s="135"/>
      <c r="J124" s="135"/>
      <c r="K124" s="135"/>
      <c r="L124" s="135"/>
      <c r="M124" s="14"/>
      <c r="N124" s="134"/>
      <c r="O124" s="135"/>
      <c r="P124" s="135"/>
      <c r="Q124" s="135"/>
      <c r="R124" s="135"/>
      <c r="S124" s="135"/>
      <c r="T124" s="135"/>
    </row>
    <row r="125" spans="1:20" ht="13.2" hidden="1" x14ac:dyDescent="0.25">
      <c r="A125" s="134"/>
      <c r="B125" s="24"/>
      <c r="C125" s="24"/>
      <c r="D125" s="24"/>
      <c r="E125" s="24"/>
      <c r="F125" s="134"/>
      <c r="G125" s="25"/>
      <c r="H125" s="134"/>
      <c r="I125" s="14"/>
      <c r="J125" s="14"/>
      <c r="K125" s="14"/>
      <c r="L125" s="14"/>
      <c r="M125" s="135"/>
      <c r="N125" s="134"/>
      <c r="O125" s="135"/>
      <c r="P125" s="135"/>
      <c r="Q125" s="135"/>
      <c r="R125" s="135"/>
      <c r="S125" s="135"/>
      <c r="T125" s="135"/>
    </row>
    <row r="126" spans="1:20" ht="13.2" hidden="1" x14ac:dyDescent="0.25">
      <c r="A126" s="134"/>
      <c r="B126" s="134"/>
      <c r="C126" s="134"/>
      <c r="D126" s="134"/>
      <c r="E126" s="134"/>
      <c r="F126" s="134"/>
      <c r="G126" s="38"/>
      <c r="H126" s="134"/>
      <c r="I126" s="15"/>
      <c r="J126" s="46"/>
      <c r="K126" s="15"/>
      <c r="L126" s="46"/>
      <c r="M126" s="14"/>
      <c r="N126" s="134"/>
      <c r="O126" s="135"/>
      <c r="P126" s="135"/>
      <c r="Q126" s="46"/>
      <c r="R126" s="46"/>
      <c r="S126" s="46"/>
      <c r="T126" s="46"/>
    </row>
    <row r="127" spans="1:20" ht="13.2" hidden="1" x14ac:dyDescent="0.25">
      <c r="A127" s="134"/>
      <c r="B127" s="134"/>
      <c r="C127" s="134"/>
      <c r="D127" s="134"/>
      <c r="E127" s="134"/>
      <c r="F127" s="134"/>
      <c r="G127" s="134"/>
      <c r="H127" s="134"/>
      <c r="I127" s="134"/>
      <c r="J127" s="134"/>
      <c r="K127" s="134"/>
      <c r="L127" s="134"/>
      <c r="M127" s="46"/>
      <c r="N127" s="134"/>
      <c r="O127" s="15"/>
      <c r="P127" s="46"/>
      <c r="Q127" s="134"/>
      <c r="R127" s="134"/>
      <c r="S127" s="134"/>
      <c r="T127" s="134"/>
    </row>
    <row r="128" spans="1:20" ht="13.2" hidden="1" x14ac:dyDescent="0.25">
      <c r="A128" s="134"/>
      <c r="B128" s="134"/>
      <c r="C128" s="134"/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  <c r="R128" s="134"/>
      <c r="S128" s="134"/>
      <c r="T128" s="134"/>
    </row>
    <row r="129" spans="1:20" ht="13.2" hidden="1" x14ac:dyDescent="0.25">
      <c r="A129" s="134"/>
      <c r="B129" s="134"/>
      <c r="C129" s="134"/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  <c r="Q129" s="134"/>
      <c r="R129" s="134"/>
      <c r="S129" s="134"/>
      <c r="T129" s="134"/>
    </row>
    <row r="130" spans="1:20" ht="13.2" hidden="1" x14ac:dyDescent="0.25">
      <c r="A130" s="134"/>
      <c r="B130" s="134"/>
      <c r="C130" s="134"/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  <c r="Q130" s="134"/>
      <c r="R130" s="134"/>
      <c r="S130" s="134"/>
      <c r="T130" s="134"/>
    </row>
    <row r="131" spans="1:20" ht="13.2" hidden="1" x14ac:dyDescent="0.25">
      <c r="A131" s="134"/>
      <c r="B131" s="134"/>
      <c r="C131" s="134"/>
      <c r="D131" s="134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  <c r="Q131" s="134"/>
      <c r="R131" s="134"/>
      <c r="S131" s="134"/>
      <c r="T131" s="134"/>
    </row>
    <row r="132" spans="1:20" ht="13.2" hidden="1" x14ac:dyDescent="0.25">
      <c r="A132" s="134"/>
      <c r="B132" s="134"/>
      <c r="C132" s="134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  <c r="Q132" s="134"/>
      <c r="R132" s="134"/>
      <c r="S132" s="134"/>
      <c r="T132" s="134"/>
    </row>
    <row r="133" spans="1:20" ht="13.2" hidden="1" x14ac:dyDescent="0.25">
      <c r="A133" s="134"/>
      <c r="B133" s="134"/>
      <c r="C133" s="134"/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  <c r="R133" s="134"/>
      <c r="S133" s="134"/>
      <c r="T133" s="134"/>
    </row>
    <row r="134" spans="1:20" ht="13.2" hidden="1" x14ac:dyDescent="0.25">
      <c r="A134" s="134"/>
      <c r="B134" s="134"/>
      <c r="C134" s="134"/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  <c r="R134" s="134"/>
      <c r="S134" s="134"/>
      <c r="T134" s="134"/>
    </row>
    <row r="135" spans="1:20" ht="13.2" hidden="1" x14ac:dyDescent="0.25">
      <c r="A135" s="134"/>
      <c r="B135" s="134"/>
      <c r="C135" s="134"/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  <c r="R135" s="134"/>
      <c r="S135" s="134"/>
      <c r="T135" s="134"/>
    </row>
    <row r="136" spans="1:20" ht="13.2" hidden="1" x14ac:dyDescent="0.25">
      <c r="A136" s="134"/>
      <c r="B136" s="134"/>
      <c r="C136" s="134"/>
      <c r="D136" s="134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4"/>
      <c r="Q136" s="134"/>
      <c r="R136" s="134"/>
      <c r="S136" s="134"/>
      <c r="T136" s="134"/>
    </row>
    <row r="137" spans="1:20" ht="13.2" hidden="1" x14ac:dyDescent="0.25">
      <c r="A137" s="134"/>
      <c r="B137" s="134"/>
      <c r="C137" s="134"/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  <c r="R137" s="134"/>
      <c r="S137" s="134"/>
      <c r="T137" s="134"/>
    </row>
    <row r="138" spans="1:20" ht="13.2" hidden="1" x14ac:dyDescent="0.25">
      <c r="A138" s="134"/>
      <c r="B138" s="134"/>
      <c r="C138" s="134"/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  <c r="R138" s="134"/>
      <c r="S138" s="134"/>
      <c r="T138" s="134"/>
    </row>
    <row r="139" spans="1:20" ht="13.2" hidden="1" x14ac:dyDescent="0.25">
      <c r="A139" s="134"/>
      <c r="B139" s="134"/>
      <c r="C139" s="134"/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  <c r="Q139" s="134"/>
      <c r="R139" s="134"/>
      <c r="S139" s="134"/>
      <c r="T139" s="134"/>
    </row>
    <row r="140" spans="1:20" ht="13.2" hidden="1" x14ac:dyDescent="0.25">
      <c r="A140" s="134"/>
      <c r="B140" s="134"/>
      <c r="C140" s="134"/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  <c r="R140" s="134"/>
      <c r="S140" s="134"/>
      <c r="T140" s="134"/>
    </row>
    <row r="141" spans="1:20" ht="13.2" hidden="1" x14ac:dyDescent="0.25">
      <c r="A141" s="134"/>
      <c r="B141" s="134"/>
      <c r="C141" s="134"/>
      <c r="D141" s="134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  <c r="R141" s="134"/>
      <c r="S141" s="134"/>
      <c r="T141" s="134"/>
    </row>
    <row r="142" spans="1:20" ht="13.2" hidden="1" x14ac:dyDescent="0.25">
      <c r="A142" s="134"/>
      <c r="B142" s="134"/>
      <c r="C142" s="134"/>
      <c r="D142" s="134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  <c r="P142" s="134"/>
      <c r="Q142" s="134"/>
      <c r="R142" s="134"/>
      <c r="S142" s="134"/>
      <c r="T142" s="134"/>
    </row>
    <row r="143" spans="1:20" ht="13.2" hidden="1" x14ac:dyDescent="0.25">
      <c r="A143" s="134"/>
      <c r="B143" s="134"/>
      <c r="C143" s="134"/>
      <c r="D143" s="134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  <c r="Q143" s="134"/>
      <c r="R143" s="134"/>
      <c r="S143" s="134"/>
      <c r="T143" s="134"/>
    </row>
    <row r="144" spans="1:20" ht="13.2" hidden="1" x14ac:dyDescent="0.25">
      <c r="A144" s="134"/>
      <c r="B144" s="134"/>
      <c r="C144" s="134"/>
      <c r="D144" s="134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  <c r="Q144" s="134"/>
      <c r="R144" s="134"/>
      <c r="S144" s="134"/>
      <c r="T144" s="134"/>
    </row>
    <row r="145" spans="1:20" ht="13.2" hidden="1" x14ac:dyDescent="0.25">
      <c r="A145" s="134"/>
      <c r="B145" s="134"/>
      <c r="C145" s="134"/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  <c r="R145" s="134"/>
      <c r="S145" s="134"/>
      <c r="T145" s="134"/>
    </row>
    <row r="146" spans="1:20" ht="13.2" hidden="1" x14ac:dyDescent="0.25">
      <c r="A146" s="134"/>
      <c r="B146" s="134"/>
      <c r="C146" s="134"/>
      <c r="D146" s="134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  <c r="Q146" s="134"/>
      <c r="R146" s="134"/>
      <c r="S146" s="134"/>
      <c r="T146" s="134"/>
    </row>
    <row r="147" spans="1:20" ht="13.2" hidden="1" x14ac:dyDescent="0.25">
      <c r="A147" s="134"/>
      <c r="B147" s="134"/>
      <c r="C147" s="134"/>
      <c r="D147" s="134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  <c r="Q147" s="134"/>
      <c r="R147" s="134"/>
      <c r="S147" s="134"/>
      <c r="T147" s="134"/>
    </row>
    <row r="148" spans="1:20" ht="13.2" hidden="1" x14ac:dyDescent="0.25">
      <c r="A148" s="134"/>
      <c r="B148" s="134"/>
      <c r="C148" s="134"/>
      <c r="D148" s="134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  <c r="R148" s="134"/>
      <c r="S148" s="134"/>
      <c r="T148" s="134"/>
    </row>
    <row r="149" spans="1:20" ht="13.2" hidden="1" x14ac:dyDescent="0.25">
      <c r="A149" s="134"/>
      <c r="B149" s="134"/>
      <c r="C149" s="134"/>
      <c r="D149" s="134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  <c r="R149" s="134"/>
      <c r="S149" s="134"/>
      <c r="T149" s="134"/>
    </row>
    <row r="150" spans="1:20" ht="13.2" hidden="1" x14ac:dyDescent="0.25">
      <c r="A150" s="134"/>
      <c r="B150" s="134"/>
      <c r="C150" s="134"/>
      <c r="D150" s="134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  <c r="Q150" s="134"/>
      <c r="R150" s="134"/>
      <c r="S150" s="134"/>
      <c r="T150" s="134"/>
    </row>
    <row r="151" spans="1:20" ht="13.2" hidden="1" x14ac:dyDescent="0.25">
      <c r="A151" s="134"/>
      <c r="B151" s="134"/>
      <c r="C151" s="134"/>
      <c r="D151" s="134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  <c r="R151" s="134"/>
      <c r="S151" s="134"/>
      <c r="T151" s="134"/>
    </row>
    <row r="152" spans="1:20" ht="13.2" hidden="1" x14ac:dyDescent="0.25">
      <c r="A152" s="134"/>
      <c r="B152" s="134"/>
      <c r="C152" s="134"/>
      <c r="D152" s="134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  <c r="Q152" s="134"/>
      <c r="R152" s="134"/>
      <c r="S152" s="134"/>
      <c r="T152" s="134"/>
    </row>
    <row r="153" spans="1:20" ht="13.2" hidden="1" x14ac:dyDescent="0.25">
      <c r="A153" s="134"/>
      <c r="B153" s="134"/>
      <c r="C153" s="134"/>
      <c r="D153" s="134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  <c r="R153" s="134"/>
      <c r="S153" s="134"/>
      <c r="T153" s="134"/>
    </row>
    <row r="154" spans="1:20" ht="13.2" hidden="1" x14ac:dyDescent="0.25">
      <c r="A154" s="134"/>
      <c r="B154" s="134"/>
      <c r="C154" s="134"/>
      <c r="D154" s="134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  <c r="R154" s="134"/>
      <c r="S154" s="134"/>
      <c r="T154" s="134"/>
    </row>
    <row r="155" spans="1:20" ht="13.2" hidden="1" x14ac:dyDescent="0.25">
      <c r="A155" s="134"/>
      <c r="B155" s="134"/>
      <c r="C155" s="134"/>
      <c r="D155" s="134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  <c r="Q155" s="134"/>
      <c r="R155" s="134"/>
      <c r="S155" s="134"/>
      <c r="T155" s="134"/>
    </row>
    <row r="156" spans="1:20" ht="13.2" hidden="1" x14ac:dyDescent="0.25">
      <c r="A156" s="134"/>
      <c r="B156" s="134"/>
      <c r="C156" s="134"/>
      <c r="D156" s="134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  <c r="Q156" s="134"/>
      <c r="R156" s="134"/>
      <c r="S156" s="134"/>
      <c r="T156" s="134"/>
    </row>
    <row r="157" spans="1:20" ht="13.2" hidden="1" x14ac:dyDescent="0.25">
      <c r="A157" s="134"/>
      <c r="B157" s="134"/>
      <c r="C157" s="134"/>
      <c r="D157" s="134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  <c r="R157" s="134"/>
      <c r="S157" s="134"/>
      <c r="T157" s="134"/>
    </row>
    <row r="158" spans="1:20" ht="13.2" hidden="1" x14ac:dyDescent="0.25">
      <c r="A158" s="134"/>
      <c r="B158" s="134"/>
      <c r="C158" s="134"/>
      <c r="D158" s="134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4"/>
      <c r="Q158" s="134"/>
      <c r="R158" s="134"/>
      <c r="S158" s="134"/>
      <c r="T158" s="134"/>
    </row>
    <row r="159" spans="1:20" ht="13.2" hidden="1" x14ac:dyDescent="0.25">
      <c r="A159" s="134"/>
      <c r="B159" s="134"/>
      <c r="C159" s="134"/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  <c r="R159" s="134"/>
      <c r="S159" s="134"/>
      <c r="T159" s="134"/>
    </row>
    <row r="160" spans="1:20" ht="13.2" hidden="1" x14ac:dyDescent="0.25">
      <c r="A160" s="134"/>
      <c r="B160" s="134"/>
      <c r="C160" s="134"/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  <c r="R160" s="134"/>
      <c r="S160" s="134"/>
      <c r="T160" s="134"/>
    </row>
    <row r="161" spans="1:20" ht="13.2" hidden="1" x14ac:dyDescent="0.25">
      <c r="A161" s="134"/>
      <c r="B161" s="134"/>
      <c r="C161" s="134"/>
      <c r="D161" s="134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  <c r="P161" s="134"/>
      <c r="Q161" s="134"/>
      <c r="R161" s="134"/>
      <c r="S161" s="134"/>
      <c r="T161" s="134"/>
    </row>
    <row r="162" spans="1:20" ht="13.2" hidden="1" x14ac:dyDescent="0.25">
      <c r="A162" s="134"/>
      <c r="B162" s="134"/>
      <c r="C162" s="134"/>
      <c r="D162" s="134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  <c r="R162" s="134"/>
      <c r="S162" s="134"/>
      <c r="T162" s="134"/>
    </row>
    <row r="163" spans="1:20" ht="13.2" hidden="1" x14ac:dyDescent="0.25">
      <c r="A163" s="134"/>
      <c r="B163" s="134"/>
      <c r="C163" s="134"/>
      <c r="D163" s="134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  <c r="R163" s="134"/>
      <c r="S163" s="134"/>
      <c r="T163" s="134"/>
    </row>
    <row r="164" spans="1:20" ht="13.2" hidden="1" x14ac:dyDescent="0.25">
      <c r="A164" s="134"/>
      <c r="B164" s="134"/>
      <c r="C164" s="134"/>
      <c r="D164" s="134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  <c r="R164" s="134"/>
      <c r="S164" s="134"/>
      <c r="T164" s="134"/>
    </row>
    <row r="165" spans="1:20" ht="13.2" hidden="1" x14ac:dyDescent="0.25">
      <c r="A165" s="134"/>
      <c r="B165" s="134"/>
      <c r="C165" s="134"/>
      <c r="D165" s="134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  <c r="R165" s="134"/>
      <c r="S165" s="134"/>
      <c r="T165" s="134"/>
    </row>
    <row r="166" spans="1:20" ht="13.2" hidden="1" x14ac:dyDescent="0.25">
      <c r="A166" s="134"/>
      <c r="B166" s="134"/>
      <c r="C166" s="134"/>
      <c r="D166" s="134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  <c r="P166" s="134"/>
      <c r="Q166" s="134"/>
      <c r="R166" s="134"/>
      <c r="S166" s="134"/>
      <c r="T166" s="134"/>
    </row>
    <row r="167" spans="1:20" ht="13.2" hidden="1" x14ac:dyDescent="0.25">
      <c r="A167" s="134"/>
      <c r="B167" s="134"/>
      <c r="C167" s="134"/>
      <c r="D167" s="134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  <c r="P167" s="134"/>
      <c r="Q167" s="134"/>
      <c r="R167" s="134"/>
      <c r="S167" s="134"/>
      <c r="T167" s="134"/>
    </row>
    <row r="168" spans="1:20" ht="13.2" hidden="1" x14ac:dyDescent="0.25">
      <c r="A168" s="134"/>
      <c r="B168" s="134"/>
      <c r="C168" s="134"/>
      <c r="D168" s="134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  <c r="P168" s="134"/>
      <c r="Q168" s="134"/>
      <c r="R168" s="134"/>
      <c r="S168" s="134"/>
      <c r="T168" s="134"/>
    </row>
    <row r="169" spans="1:20" ht="13.2" hidden="1" x14ac:dyDescent="0.25">
      <c r="A169" s="134"/>
      <c r="B169" s="134"/>
      <c r="C169" s="134"/>
      <c r="D169" s="134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  <c r="Q169" s="134"/>
      <c r="R169" s="134"/>
      <c r="S169" s="134"/>
      <c r="T169" s="134"/>
    </row>
    <row r="170" spans="1:20" ht="13.2" hidden="1" x14ac:dyDescent="0.25">
      <c r="A170" s="134"/>
      <c r="B170" s="134"/>
      <c r="C170" s="134"/>
      <c r="D170" s="134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  <c r="Q170" s="134"/>
      <c r="R170" s="134"/>
      <c r="S170" s="134"/>
      <c r="T170" s="134"/>
    </row>
    <row r="171" spans="1:20" ht="13.2" hidden="1" x14ac:dyDescent="0.25">
      <c r="A171" s="134"/>
      <c r="B171" s="134"/>
      <c r="C171" s="134"/>
      <c r="D171" s="134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  <c r="P171" s="134"/>
      <c r="Q171" s="134"/>
      <c r="R171" s="134"/>
      <c r="S171" s="134"/>
      <c r="T171" s="134"/>
    </row>
    <row r="172" spans="1:20" ht="13.2" hidden="1" x14ac:dyDescent="0.25">
      <c r="A172" s="134"/>
      <c r="B172" s="134"/>
      <c r="C172" s="134"/>
      <c r="D172" s="134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  <c r="P172" s="134"/>
      <c r="Q172" s="134"/>
      <c r="R172" s="134"/>
      <c r="S172" s="134"/>
      <c r="T172" s="134"/>
    </row>
    <row r="173" spans="1:20" ht="13.2" hidden="1" x14ac:dyDescent="0.25">
      <c r="A173" s="134"/>
      <c r="B173" s="134"/>
      <c r="C173" s="134"/>
      <c r="D173" s="134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  <c r="P173" s="134"/>
      <c r="Q173" s="134"/>
      <c r="R173" s="134"/>
      <c r="S173" s="134"/>
      <c r="T173" s="134"/>
    </row>
    <row r="174" spans="1:20" ht="13.2" hidden="1" x14ac:dyDescent="0.25">
      <c r="A174" s="134"/>
      <c r="B174" s="134"/>
      <c r="C174" s="134"/>
      <c r="D174" s="134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  <c r="P174" s="134"/>
      <c r="Q174" s="134"/>
      <c r="R174" s="134"/>
      <c r="S174" s="134"/>
      <c r="T174" s="134"/>
    </row>
    <row r="175" spans="1:20" ht="13.2" hidden="1" x14ac:dyDescent="0.25">
      <c r="A175" s="134"/>
      <c r="B175" s="134"/>
      <c r="C175" s="134"/>
      <c r="D175" s="134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  <c r="P175" s="134"/>
      <c r="Q175" s="134"/>
      <c r="R175" s="134"/>
      <c r="S175" s="134"/>
      <c r="T175" s="134"/>
    </row>
    <row r="176" spans="1:20" ht="13.2" hidden="1" x14ac:dyDescent="0.25">
      <c r="A176" s="134"/>
      <c r="B176" s="134"/>
      <c r="C176" s="134"/>
      <c r="D176" s="134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  <c r="P176" s="134"/>
      <c r="Q176" s="134"/>
      <c r="R176" s="134"/>
      <c r="S176" s="134"/>
      <c r="T176" s="134"/>
    </row>
    <row r="177" spans="1:20" ht="13.2" hidden="1" x14ac:dyDescent="0.25">
      <c r="A177" s="134"/>
      <c r="B177" s="134"/>
      <c r="C177" s="134"/>
      <c r="D177" s="134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/>
      <c r="P177" s="134"/>
      <c r="Q177" s="134"/>
      <c r="R177" s="134"/>
      <c r="S177" s="134"/>
      <c r="T177" s="134"/>
    </row>
    <row r="178" spans="1:20" ht="13.2" hidden="1" x14ac:dyDescent="0.25">
      <c r="A178" s="134"/>
      <c r="B178" s="134"/>
      <c r="C178" s="134"/>
      <c r="D178" s="134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  <c r="P178" s="134"/>
      <c r="Q178" s="134"/>
      <c r="R178" s="134"/>
      <c r="S178" s="134"/>
      <c r="T178" s="134"/>
    </row>
    <row r="179" spans="1:20" ht="13.2" hidden="1" x14ac:dyDescent="0.25">
      <c r="A179" s="134"/>
      <c r="B179" s="134"/>
      <c r="C179" s="134"/>
      <c r="D179" s="134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  <c r="Q179" s="134"/>
      <c r="R179" s="134"/>
      <c r="S179" s="134"/>
      <c r="T179" s="134"/>
    </row>
    <row r="180" spans="1:20" ht="13.2" hidden="1" x14ac:dyDescent="0.25">
      <c r="A180" s="134"/>
      <c r="B180" s="134"/>
      <c r="C180" s="134"/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  <c r="P180" s="134"/>
      <c r="Q180" s="134"/>
      <c r="R180" s="134"/>
      <c r="S180" s="134"/>
      <c r="T180" s="134"/>
    </row>
    <row r="181" spans="1:20" ht="13.2" hidden="1" x14ac:dyDescent="0.25">
      <c r="A181" s="134"/>
      <c r="B181" s="134"/>
      <c r="C181" s="134"/>
      <c r="D181" s="134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  <c r="P181" s="134"/>
      <c r="Q181" s="134"/>
      <c r="R181" s="134"/>
      <c r="S181" s="134"/>
      <c r="T181" s="134"/>
    </row>
    <row r="182" spans="1:20" ht="13.2" hidden="1" x14ac:dyDescent="0.25">
      <c r="A182" s="134"/>
      <c r="B182" s="134"/>
      <c r="C182" s="134"/>
      <c r="D182" s="134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  <c r="P182" s="134"/>
      <c r="Q182" s="134"/>
      <c r="R182" s="134"/>
      <c r="S182" s="134"/>
      <c r="T182" s="134"/>
    </row>
    <row r="183" spans="1:20" ht="13.2" hidden="1" x14ac:dyDescent="0.25">
      <c r="A183" s="134"/>
      <c r="B183" s="134"/>
      <c r="C183" s="134"/>
      <c r="D183" s="134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  <c r="Q183" s="134"/>
      <c r="R183" s="134"/>
      <c r="S183" s="134"/>
      <c r="T183" s="134"/>
    </row>
    <row r="184" spans="1:20" ht="13.2" hidden="1" x14ac:dyDescent="0.25">
      <c r="A184" s="134"/>
      <c r="B184" s="134"/>
      <c r="C184" s="134"/>
      <c r="D184" s="134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  <c r="P184" s="134"/>
      <c r="Q184" s="134"/>
      <c r="R184" s="134"/>
      <c r="S184" s="134"/>
      <c r="T184" s="134"/>
    </row>
    <row r="185" spans="1:20" ht="12.75" hidden="1" customHeight="1" x14ac:dyDescent="0.25">
      <c r="A185" s="129"/>
      <c r="B185" s="134"/>
      <c r="C185" s="134"/>
      <c r="D185" s="134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  <c r="P185" s="134"/>
      <c r="Q185" s="134"/>
      <c r="R185" s="134"/>
      <c r="S185" s="134"/>
      <c r="T185" s="134"/>
    </row>
    <row r="186" spans="1:20" ht="12.75" hidden="1" customHeight="1" x14ac:dyDescent="0.25">
      <c r="A186" s="129"/>
      <c r="B186" s="134"/>
      <c r="C186" s="134"/>
      <c r="D186" s="134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  <c r="O186" s="134"/>
      <c r="P186" s="134"/>
      <c r="Q186" s="134"/>
      <c r="R186" s="134"/>
      <c r="S186" s="134"/>
      <c r="T186" s="134"/>
    </row>
    <row r="187" spans="1:20" ht="12.75" hidden="1" customHeight="1" x14ac:dyDescent="0.25">
      <c r="A187" s="129"/>
      <c r="B187" s="134"/>
      <c r="C187" s="134"/>
      <c r="D187" s="134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  <c r="Q187" s="134"/>
      <c r="R187" s="134"/>
      <c r="S187" s="134"/>
      <c r="T187" s="134"/>
    </row>
    <row r="188" spans="1:20" ht="12.75" hidden="1" customHeight="1" x14ac:dyDescent="0.25">
      <c r="A188" s="129"/>
      <c r="B188" s="134"/>
      <c r="C188" s="134"/>
      <c r="D188" s="134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/>
      <c r="P188" s="134"/>
      <c r="Q188" s="134"/>
      <c r="R188" s="134"/>
      <c r="S188" s="134"/>
      <c r="T188" s="134"/>
    </row>
    <row r="189" spans="1:20" ht="12.75" hidden="1" customHeight="1" x14ac:dyDescent="0.25">
      <c r="A189" s="129"/>
      <c r="B189" s="134"/>
      <c r="C189" s="134"/>
      <c r="D189" s="134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  <c r="P189" s="134"/>
      <c r="Q189" s="134"/>
      <c r="R189" s="134"/>
      <c r="S189" s="134"/>
      <c r="T189" s="134"/>
    </row>
    <row r="190" spans="1:20" ht="12.75" hidden="1" customHeight="1" x14ac:dyDescent="0.25">
      <c r="A190" s="129"/>
      <c r="B190" s="134"/>
      <c r="C190" s="134"/>
      <c r="D190" s="134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  <c r="O190" s="134"/>
      <c r="P190" s="134"/>
      <c r="Q190" s="134"/>
      <c r="R190" s="134"/>
      <c r="S190" s="134"/>
      <c r="T190" s="134"/>
    </row>
    <row r="191" spans="1:20" ht="12.75" hidden="1" customHeight="1" x14ac:dyDescent="0.25">
      <c r="A191" s="129"/>
      <c r="B191" s="134"/>
      <c r="C191" s="134"/>
      <c r="D191" s="134"/>
      <c r="E191" s="134"/>
      <c r="F191" s="134"/>
      <c r="G191" s="134"/>
      <c r="H191" s="134"/>
      <c r="I191" s="134"/>
      <c r="J191" s="134"/>
      <c r="K191" s="134"/>
      <c r="L191" s="134"/>
      <c r="M191" s="134"/>
      <c r="N191" s="134"/>
      <c r="O191" s="134"/>
      <c r="P191" s="134"/>
      <c r="Q191" s="134"/>
      <c r="R191" s="134"/>
      <c r="S191" s="134"/>
      <c r="T191" s="134"/>
    </row>
    <row r="192" spans="1:20" ht="12.75" hidden="1" customHeight="1" x14ac:dyDescent="0.25">
      <c r="A192" s="129"/>
      <c r="B192" s="134"/>
      <c r="C192" s="134"/>
      <c r="D192" s="134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  <c r="O192" s="134"/>
      <c r="P192" s="134"/>
      <c r="Q192" s="134"/>
      <c r="R192" s="134"/>
      <c r="S192" s="134"/>
      <c r="T192" s="134"/>
    </row>
    <row r="193" spans="1:20" ht="12.75" hidden="1" customHeight="1" x14ac:dyDescent="0.25">
      <c r="A193" s="129"/>
      <c r="B193" s="134"/>
      <c r="C193" s="134"/>
      <c r="D193" s="134"/>
      <c r="E193" s="134"/>
      <c r="F193" s="134"/>
      <c r="G193" s="134"/>
      <c r="H193" s="134"/>
      <c r="I193" s="134"/>
      <c r="J193" s="134"/>
      <c r="K193" s="134"/>
      <c r="L193" s="134"/>
      <c r="M193" s="134"/>
      <c r="N193" s="134"/>
      <c r="O193" s="134"/>
      <c r="P193" s="134"/>
      <c r="Q193" s="134"/>
      <c r="R193" s="134"/>
      <c r="S193" s="134"/>
      <c r="T193" s="134"/>
    </row>
    <row r="194" spans="1:20" ht="12.75" hidden="1" customHeight="1" x14ac:dyDescent="0.25">
      <c r="A194" s="129"/>
      <c r="B194" s="134"/>
      <c r="C194" s="134"/>
      <c r="D194" s="134"/>
      <c r="E194" s="134"/>
      <c r="F194" s="134"/>
      <c r="G194" s="134"/>
      <c r="H194" s="134"/>
      <c r="I194" s="134"/>
      <c r="J194" s="134"/>
      <c r="K194" s="134"/>
      <c r="L194" s="134"/>
      <c r="M194" s="134"/>
      <c r="N194" s="134"/>
      <c r="O194" s="134"/>
      <c r="P194" s="134"/>
      <c r="Q194" s="134"/>
      <c r="R194" s="134"/>
      <c r="S194" s="134"/>
      <c r="T194" s="134"/>
    </row>
    <row r="195" spans="1:20" ht="12.75" hidden="1" customHeight="1" x14ac:dyDescent="0.25">
      <c r="A195" s="129"/>
      <c r="B195" s="134"/>
      <c r="C195" s="134"/>
      <c r="D195" s="134"/>
      <c r="E195" s="134"/>
      <c r="F195" s="134"/>
      <c r="G195" s="134"/>
      <c r="H195" s="134"/>
      <c r="I195" s="134"/>
      <c r="J195" s="134"/>
      <c r="K195" s="134"/>
      <c r="L195" s="134"/>
      <c r="M195" s="134"/>
      <c r="N195" s="134"/>
      <c r="O195" s="134"/>
      <c r="P195" s="134"/>
      <c r="Q195" s="134"/>
      <c r="R195" s="134"/>
      <c r="S195" s="134"/>
      <c r="T195" s="134"/>
    </row>
    <row r="196" spans="1:20" ht="12.75" hidden="1" customHeight="1" x14ac:dyDescent="0.25">
      <c r="A196" s="129"/>
      <c r="B196" s="134"/>
      <c r="C196" s="134"/>
      <c r="D196" s="134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  <c r="O196" s="134"/>
      <c r="P196" s="134"/>
      <c r="Q196" s="134"/>
      <c r="R196" s="134"/>
      <c r="S196" s="134"/>
      <c r="T196" s="134"/>
    </row>
    <row r="197" spans="1:20" ht="12.75" hidden="1" customHeight="1" x14ac:dyDescent="0.25">
      <c r="A197" s="129"/>
      <c r="B197" s="134"/>
      <c r="C197" s="134"/>
      <c r="D197" s="134"/>
      <c r="E197" s="134"/>
      <c r="F197" s="134"/>
      <c r="G197" s="134"/>
      <c r="H197" s="134"/>
      <c r="I197" s="134"/>
      <c r="J197" s="134"/>
      <c r="K197" s="134"/>
      <c r="L197" s="134"/>
      <c r="M197" s="134"/>
      <c r="N197" s="134"/>
      <c r="O197" s="134"/>
      <c r="P197" s="134"/>
      <c r="Q197" s="134"/>
      <c r="R197" s="134"/>
      <c r="S197" s="134"/>
      <c r="T197" s="134"/>
    </row>
    <row r="198" spans="1:20" ht="12.75" customHeight="1" x14ac:dyDescent="0.25">
      <c r="A198" s="129"/>
      <c r="B198" s="129"/>
      <c r="C198" s="129"/>
      <c r="D198" s="129"/>
      <c r="E198" s="129"/>
      <c r="F198" s="129"/>
      <c r="G198" s="129"/>
      <c r="H198" s="129"/>
      <c r="I198" s="129"/>
      <c r="J198" s="129"/>
      <c r="K198" s="129"/>
      <c r="L198" s="129"/>
      <c r="M198" s="134"/>
      <c r="N198" s="134"/>
      <c r="O198" s="134"/>
      <c r="P198" s="134"/>
      <c r="Q198" s="129"/>
      <c r="R198" s="129"/>
      <c r="S198" s="129"/>
      <c r="T198" s="129"/>
    </row>
  </sheetData>
  <sheetProtection algorithmName="SHA-512" hashValue="PW8NQDMjU3Bcq1HXADNQU6bTEd0CWEKDZLdWs7bD1gk4nxMhO5xK+RcYGbmzOn7TaTIRFbX/yw8jf+rWc6unAQ==" saltValue="JWPNG2jYTMdQcB9wXnTqUQ==" spinCount="100000" sheet="1" objects="1" scenarios="1"/>
  <autoFilter ref="W1:W197" xr:uid="{00000000-0009-0000-0000-000003000000}">
    <filterColumn colId="0">
      <customFilters>
        <customFilter operator="notEqual" val=" "/>
      </customFilters>
    </filterColumn>
  </autoFilter>
  <sortState xmlns:xlrd2="http://schemas.microsoft.com/office/spreadsheetml/2017/richdata2" ref="A13:V59">
    <sortCondition ref="B13:B59"/>
    <sortCondition ref="C13:C59"/>
  </sortState>
  <phoneticPr fontId="0" type="noConversion"/>
  <printOptions horizontalCentered="1"/>
  <pageMargins left="0" right="0" top="0.5" bottom="0.25" header="0" footer="0"/>
  <pageSetup scale="9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filterMode="1"/>
  <dimension ref="A1:V354"/>
  <sheetViews>
    <sheetView showOutlineSymbols="0" topLeftCell="B1" zoomScale="90" zoomScaleNormal="90" workbookViewId="0">
      <selection activeCell="B1" sqref="B1"/>
    </sheetView>
  </sheetViews>
  <sheetFormatPr defaultColWidth="9.33203125" defaultRowHeight="12.75" customHeight="1" x14ac:dyDescent="0.25"/>
  <cols>
    <col min="1" max="1" width="5.33203125" style="19" hidden="1" customWidth="1"/>
    <col min="2" max="2" width="18.44140625" style="12" customWidth="1"/>
    <col min="3" max="3" width="39.44140625" style="34" customWidth="1"/>
    <col min="4" max="4" width="13.88671875" style="34" hidden="1" customWidth="1"/>
    <col min="5" max="5" width="9.88671875" style="34" customWidth="1"/>
    <col min="6" max="6" width="12.5546875" style="34" bestFit="1" customWidth="1"/>
    <col min="7" max="7" width="9.33203125" style="134" customWidth="1"/>
    <col min="8" max="8" width="12.6640625" style="12" customWidth="1"/>
    <col min="9" max="9" width="11.33203125" style="12" customWidth="1"/>
    <col min="10" max="10" width="3.6640625" style="12" hidden="1" customWidth="1"/>
    <col min="11" max="11" width="10.33203125" style="12" customWidth="1"/>
    <col min="12" max="12" width="10.33203125" style="34" customWidth="1"/>
    <col min="13" max="13" width="3" style="12" hidden="1" customWidth="1"/>
    <col min="14" max="14" width="9.33203125" style="12" customWidth="1"/>
    <col min="15" max="15" width="10.109375" style="12" customWidth="1"/>
    <col min="16" max="16" width="12.5546875" style="12" customWidth="1"/>
    <col min="17" max="17" width="3.6640625" style="12" hidden="1" customWidth="1"/>
    <col min="18" max="18" width="23.88671875" style="193" customWidth="1"/>
    <col min="19" max="19" width="3.33203125" style="12" customWidth="1"/>
    <col min="20" max="32" width="9.33203125" style="12" customWidth="1"/>
    <col min="33" max="16384" width="9.33203125" style="12"/>
  </cols>
  <sheetData>
    <row r="1" spans="1:19" ht="13.2" x14ac:dyDescent="0.25">
      <c r="A1" s="125" t="s">
        <v>162</v>
      </c>
      <c r="B1" s="48" t="str">
        <f>Budget!B1</f>
        <v>PALM BAY ELEMENTARY/ PALM BAY PREPARATORY ACADEMY</v>
      </c>
      <c r="C1" s="174"/>
      <c r="D1" s="174"/>
      <c r="E1" s="246"/>
      <c r="F1" s="267"/>
      <c r="G1" s="238"/>
      <c r="H1" s="48"/>
      <c r="I1" s="134"/>
      <c r="J1" s="134"/>
      <c r="K1" s="134"/>
      <c r="M1" s="134"/>
      <c r="N1" s="134"/>
      <c r="O1" s="134"/>
      <c r="P1" s="134"/>
      <c r="Q1" s="134" t="s">
        <v>2</v>
      </c>
      <c r="S1" s="134"/>
    </row>
    <row r="2" spans="1:19" ht="17.25" customHeight="1" x14ac:dyDescent="0.25">
      <c r="A2" s="125"/>
      <c r="B2" s="275" t="s">
        <v>163</v>
      </c>
      <c r="C2" s="276"/>
      <c r="D2" s="276"/>
      <c r="E2" s="275"/>
      <c r="F2" s="276"/>
      <c r="G2" s="275"/>
      <c r="H2" s="275"/>
      <c r="I2" s="134"/>
      <c r="J2" s="134"/>
      <c r="K2" s="134"/>
      <c r="M2" s="134"/>
      <c r="N2" s="134"/>
      <c r="O2" s="134"/>
      <c r="P2" s="134"/>
      <c r="Q2" s="134" t="s">
        <v>2</v>
      </c>
      <c r="S2" s="134"/>
    </row>
    <row r="3" spans="1:19" ht="29.4" customHeight="1" x14ac:dyDescent="0.25">
      <c r="A3" s="125"/>
      <c r="B3" s="16"/>
      <c r="C3" s="175"/>
      <c r="D3" s="175"/>
      <c r="E3" s="175"/>
      <c r="F3" s="175"/>
      <c r="G3" s="16"/>
      <c r="H3" s="16"/>
      <c r="I3" s="277"/>
      <c r="J3" s="268"/>
      <c r="K3" s="277"/>
      <c r="L3" s="277"/>
      <c r="M3" s="268"/>
      <c r="N3" s="277"/>
      <c r="O3" s="134"/>
      <c r="P3" s="134"/>
      <c r="Q3" s="134" t="s">
        <v>2</v>
      </c>
      <c r="S3" s="134" t="s">
        <v>426</v>
      </c>
    </row>
    <row r="4" spans="1:19" ht="18.75" hidden="1" customHeight="1" x14ac:dyDescent="0.25">
      <c r="A4" s="125"/>
      <c r="B4" s="16"/>
      <c r="C4" s="175"/>
      <c r="D4" s="175"/>
      <c r="E4" s="175"/>
      <c r="F4" s="175"/>
      <c r="G4" s="16"/>
      <c r="H4" s="16"/>
      <c r="I4" s="268"/>
      <c r="J4" s="268"/>
      <c r="K4" s="268"/>
      <c r="L4" s="268"/>
      <c r="M4" s="268"/>
      <c r="N4" s="268"/>
      <c r="O4" s="134"/>
      <c r="P4" s="134"/>
      <c r="Q4" s="134" t="s">
        <v>103</v>
      </c>
      <c r="R4" s="134"/>
      <c r="S4" s="134"/>
    </row>
    <row r="5" spans="1:19" ht="18.75" hidden="1" customHeight="1" x14ac:dyDescent="0.25">
      <c r="A5" s="125"/>
      <c r="B5" s="16"/>
      <c r="C5" s="175"/>
      <c r="D5" s="175"/>
      <c r="E5" s="175"/>
      <c r="F5" s="175"/>
      <c r="G5" s="16"/>
      <c r="H5" s="17" t="s">
        <v>166</v>
      </c>
      <c r="I5" s="274">
        <v>0.1191</v>
      </c>
      <c r="J5" s="274"/>
      <c r="K5" s="27">
        <v>7.6499999999999999E-2</v>
      </c>
      <c r="L5" s="274">
        <v>4.3E-3</v>
      </c>
      <c r="M5" s="274"/>
      <c r="N5" s="236">
        <v>3.0000000000000001E-3</v>
      </c>
      <c r="O5" s="236"/>
      <c r="P5" s="134"/>
      <c r="Q5" s="134" t="s">
        <v>103</v>
      </c>
      <c r="R5" s="134"/>
      <c r="S5" s="134"/>
    </row>
    <row r="6" spans="1:19" ht="18.75" hidden="1" customHeight="1" x14ac:dyDescent="0.25">
      <c r="A6" s="125"/>
      <c r="B6" s="16"/>
      <c r="C6" s="175"/>
      <c r="D6" s="175"/>
      <c r="E6" s="175"/>
      <c r="F6" s="175"/>
      <c r="G6" s="16"/>
      <c r="H6" s="17" t="s">
        <v>167</v>
      </c>
      <c r="I6" s="273">
        <f>I5</f>
        <v>0.1191</v>
      </c>
      <c r="J6" s="273"/>
      <c r="K6" s="27">
        <v>7.6499999999999999E-2</v>
      </c>
      <c r="L6" s="274">
        <v>4.3E-3</v>
      </c>
      <c r="M6" s="274"/>
      <c r="N6" s="255">
        <f>+N5</f>
        <v>3.0000000000000001E-3</v>
      </c>
      <c r="O6" s="236"/>
      <c r="P6" s="134"/>
      <c r="Q6" s="134" t="s">
        <v>103</v>
      </c>
      <c r="R6" s="134">
        <f>262+40</f>
        <v>302</v>
      </c>
      <c r="S6" s="134"/>
    </row>
    <row r="7" spans="1:19" ht="18.75" hidden="1" customHeight="1" x14ac:dyDescent="0.25">
      <c r="A7" s="125"/>
      <c r="B7" s="16"/>
      <c r="C7" s="175"/>
      <c r="D7" s="175"/>
      <c r="E7" s="175"/>
      <c r="F7" s="175"/>
      <c r="G7" s="16"/>
      <c r="H7" s="17" t="s">
        <v>168</v>
      </c>
      <c r="I7" s="273">
        <f>I6</f>
        <v>0.1191</v>
      </c>
      <c r="J7" s="273"/>
      <c r="K7" s="27">
        <v>7.6499999999999999E-2</v>
      </c>
      <c r="L7" s="274">
        <v>3.7699999999999997E-2</v>
      </c>
      <c r="M7" s="274"/>
      <c r="N7" s="255">
        <f>+N5</f>
        <v>3.0000000000000001E-3</v>
      </c>
      <c r="O7" s="236"/>
      <c r="P7" s="134"/>
      <c r="Q7" s="134" t="s">
        <v>103</v>
      </c>
      <c r="R7" s="134">
        <f>+R6*12</f>
        <v>3624</v>
      </c>
      <c r="S7" s="134"/>
    </row>
    <row r="8" spans="1:19" ht="18.75" hidden="1" customHeight="1" x14ac:dyDescent="0.25">
      <c r="A8" s="125"/>
      <c r="B8" s="16"/>
      <c r="C8" s="175"/>
      <c r="D8" s="175"/>
      <c r="E8" s="175"/>
      <c r="F8" s="175"/>
      <c r="G8" s="16"/>
      <c r="H8" s="17" t="s">
        <v>87</v>
      </c>
      <c r="I8" s="273">
        <f>I7</f>
        <v>0.1191</v>
      </c>
      <c r="J8" s="273"/>
      <c r="K8" s="27">
        <v>7.6499999999999999E-2</v>
      </c>
      <c r="L8" s="274">
        <v>3.7699999999999997E-2</v>
      </c>
      <c r="M8" s="274"/>
      <c r="N8" s="255">
        <f>+N5</f>
        <v>3.0000000000000001E-3</v>
      </c>
      <c r="O8" s="236"/>
      <c r="P8" s="134"/>
      <c r="Q8" s="134" t="s">
        <v>103</v>
      </c>
      <c r="R8" s="134"/>
      <c r="S8" s="134"/>
    </row>
    <row r="9" spans="1:19" ht="18.75" hidden="1" customHeight="1" x14ac:dyDescent="0.25">
      <c r="A9" s="237" t="s">
        <v>169</v>
      </c>
      <c r="B9" s="16"/>
      <c r="C9" s="175"/>
      <c r="D9" s="175"/>
      <c r="E9" s="175"/>
      <c r="F9" s="175"/>
      <c r="G9" s="16"/>
      <c r="H9" s="17" t="s">
        <v>170</v>
      </c>
      <c r="I9" s="273">
        <f>I8</f>
        <v>0.1191</v>
      </c>
      <c r="J9" s="273"/>
      <c r="K9" s="27">
        <v>7.6499999999999999E-2</v>
      </c>
      <c r="L9" s="274">
        <v>3.7699999999999997E-2</v>
      </c>
      <c r="M9" s="274"/>
      <c r="N9" s="255">
        <f>+N5</f>
        <v>3.0000000000000001E-3</v>
      </c>
      <c r="O9" s="39"/>
      <c r="P9" s="134"/>
      <c r="Q9" s="134" t="s">
        <v>103</v>
      </c>
      <c r="R9" s="134"/>
      <c r="S9" s="134"/>
    </row>
    <row r="10" spans="1:19" ht="14.1" hidden="1" customHeight="1" x14ac:dyDescent="0.25">
      <c r="A10" s="125">
        <v>1</v>
      </c>
      <c r="B10" s="16"/>
      <c r="C10" s="175"/>
      <c r="D10" s="175"/>
      <c r="E10" s="175"/>
      <c r="F10" s="175"/>
      <c r="G10" s="16"/>
      <c r="H10" s="17" t="s">
        <v>129</v>
      </c>
      <c r="I10" s="273">
        <f>I9</f>
        <v>0.1191</v>
      </c>
      <c r="J10" s="273"/>
      <c r="K10" s="27">
        <v>7.6499999999999999E-2</v>
      </c>
      <c r="L10" s="274">
        <v>4.3E-3</v>
      </c>
      <c r="M10" s="274"/>
      <c r="N10" s="255">
        <f>+N5</f>
        <v>3.0000000000000001E-3</v>
      </c>
      <c r="O10" s="39"/>
      <c r="P10" s="134"/>
      <c r="Q10" s="134" t="s">
        <v>103</v>
      </c>
      <c r="R10" s="134"/>
      <c r="S10" s="134"/>
    </row>
    <row r="11" spans="1:19" ht="14.1" hidden="1" customHeight="1" x14ac:dyDescent="0.25">
      <c r="A11" s="125">
        <v>2</v>
      </c>
      <c r="B11" s="16"/>
      <c r="C11" s="220"/>
      <c r="D11" s="220"/>
      <c r="E11" s="220"/>
      <c r="F11" s="220"/>
      <c r="G11" s="18"/>
      <c r="H11" s="16"/>
      <c r="I11" s="134"/>
      <c r="J11" s="134"/>
      <c r="K11" s="134"/>
      <c r="M11" s="134"/>
      <c r="N11" s="134"/>
      <c r="O11" s="134"/>
      <c r="P11" s="134"/>
      <c r="Q11" s="134" t="s">
        <v>103</v>
      </c>
      <c r="R11" s="134"/>
      <c r="S11" s="134"/>
    </row>
    <row r="12" spans="1:19" ht="14.1" hidden="1" customHeight="1" x14ac:dyDescent="0.25">
      <c r="A12" s="125">
        <v>3</v>
      </c>
      <c r="B12" s="16"/>
      <c r="C12" s="175"/>
      <c r="D12" s="175"/>
      <c r="E12" s="175"/>
      <c r="F12" s="175"/>
      <c r="G12" s="16"/>
      <c r="H12" s="16"/>
      <c r="I12" s="134"/>
      <c r="J12" s="134"/>
      <c r="K12" s="134"/>
      <c r="M12" s="134"/>
      <c r="N12" s="134"/>
      <c r="O12" s="134"/>
      <c r="P12" s="134"/>
      <c r="Q12" s="134"/>
      <c r="R12" s="134"/>
      <c r="S12" s="134"/>
    </row>
    <row r="13" spans="1:19" s="54" customFormat="1" ht="23.4" x14ac:dyDescent="0.25">
      <c r="A13" s="125">
        <v>4</v>
      </c>
      <c r="B13" s="148" t="s">
        <v>171</v>
      </c>
      <c r="C13" s="148" t="s">
        <v>172</v>
      </c>
      <c r="D13" s="148" t="s">
        <v>173</v>
      </c>
      <c r="E13" s="257" t="s">
        <v>397</v>
      </c>
      <c r="F13" s="169" t="s">
        <v>174</v>
      </c>
      <c r="G13" s="170" t="s">
        <v>175</v>
      </c>
      <c r="H13" s="171" t="s">
        <v>176</v>
      </c>
      <c r="I13" s="163" t="s">
        <v>177</v>
      </c>
      <c r="J13" s="163"/>
      <c r="K13" s="163" t="s">
        <v>164</v>
      </c>
      <c r="L13" s="163" t="s">
        <v>178</v>
      </c>
      <c r="M13" s="163"/>
      <c r="N13" s="163" t="s">
        <v>165</v>
      </c>
      <c r="O13" s="163" t="s">
        <v>179</v>
      </c>
      <c r="P13" s="53" t="s">
        <v>12</v>
      </c>
      <c r="Q13" s="134" t="s">
        <v>2</v>
      </c>
      <c r="R13" s="193"/>
    </row>
    <row r="14" spans="1:19" ht="14.1" customHeight="1" x14ac:dyDescent="0.25">
      <c r="A14" s="125"/>
      <c r="B14" s="28" t="s">
        <v>180</v>
      </c>
      <c r="C14" s="149" t="s">
        <v>13</v>
      </c>
      <c r="D14" s="149"/>
      <c r="E14" s="119"/>
      <c r="F14" s="119"/>
      <c r="G14" s="119"/>
      <c r="H14" s="60"/>
      <c r="I14" s="135"/>
      <c r="J14" s="125"/>
      <c r="K14" s="135"/>
      <c r="L14" s="14"/>
      <c r="M14" s="128"/>
      <c r="N14" s="135"/>
      <c r="O14" s="135"/>
      <c r="P14" s="13"/>
      <c r="Q14" s="134" t="s">
        <v>2</v>
      </c>
      <c r="S14" s="134"/>
    </row>
    <row r="15" spans="1:19" ht="14.1" customHeight="1" x14ac:dyDescent="0.25">
      <c r="A15" s="125">
        <v>5</v>
      </c>
      <c r="B15" s="28" t="s">
        <v>180</v>
      </c>
      <c r="C15" s="34" t="s">
        <v>181</v>
      </c>
      <c r="E15" s="119"/>
      <c r="F15" s="60">
        <v>47500</v>
      </c>
      <c r="G15" s="119"/>
      <c r="H15" s="60">
        <f>(F15)+G15</f>
        <v>47500</v>
      </c>
      <c r="I15" s="135">
        <f>IF(J15="Y",H15*$I$5," ")</f>
        <v>5657.25</v>
      </c>
      <c r="J15" s="125" t="s">
        <v>182</v>
      </c>
      <c r="K15" s="135">
        <f t="shared" ref="K15:K47" si="0">+$H15*$K$5</f>
        <v>3633.75</v>
      </c>
      <c r="L15" s="14">
        <f t="shared" ref="L15:L32" si="1">IF(M15="Y",3624," ")</f>
        <v>3624</v>
      </c>
      <c r="M15" s="128" t="s">
        <v>182</v>
      </c>
      <c r="N15" s="135">
        <f t="shared" ref="N15:N47" si="2">+$H15*$L$5</f>
        <v>204.25</v>
      </c>
      <c r="O15" s="135">
        <f t="shared" ref="O15:O47" si="3">IF(H15&gt;7000,7000*$N$5,H15*$N$5)</f>
        <v>21</v>
      </c>
      <c r="P15" s="13">
        <f>SUM(H15:I15,K15:L15,N15:O15)</f>
        <v>60640.25</v>
      </c>
      <c r="Q15" s="134" t="str">
        <f t="shared" ref="Q15:Q42" si="4">IF(P15&gt;0.49,"*","")</f>
        <v>*</v>
      </c>
      <c r="R15" s="193" t="s">
        <v>183</v>
      </c>
      <c r="S15" s="134" t="s">
        <v>185</v>
      </c>
    </row>
    <row r="16" spans="1:19" s="34" customFormat="1" ht="14.1" customHeight="1" x14ac:dyDescent="0.25">
      <c r="A16" s="161">
        <v>5</v>
      </c>
      <c r="B16" s="28" t="s">
        <v>180</v>
      </c>
      <c r="C16" s="249" t="s">
        <v>184</v>
      </c>
      <c r="D16" s="249" t="s">
        <v>398</v>
      </c>
      <c r="E16" s="119"/>
      <c r="F16" s="60">
        <v>48000</v>
      </c>
      <c r="G16" s="119"/>
      <c r="H16" s="60">
        <f t="shared" ref="H16:H20" si="5">(F16)+G16</f>
        <v>48000</v>
      </c>
      <c r="I16" s="14">
        <f t="shared" ref="I16:I33" si="6">IF(J16="Y",H16*$I$5," ")</f>
        <v>5716.8</v>
      </c>
      <c r="J16" s="161" t="s">
        <v>182</v>
      </c>
      <c r="K16" s="14">
        <f t="shared" si="0"/>
        <v>3672</v>
      </c>
      <c r="L16" s="14">
        <f t="shared" si="1"/>
        <v>3624</v>
      </c>
      <c r="M16" s="162" t="s">
        <v>182</v>
      </c>
      <c r="N16" s="14">
        <f t="shared" si="2"/>
        <v>206.4</v>
      </c>
      <c r="O16" s="14">
        <f t="shared" si="3"/>
        <v>21</v>
      </c>
      <c r="P16" s="101">
        <f t="shared" ref="P16:P20" si="7">SUM(H16:I16,K16:L16,N16:O16)</f>
        <v>61240.200000000004</v>
      </c>
      <c r="Q16" s="34" t="str">
        <f t="shared" ref="Q16" si="8">IF(P16&gt;0.49,"*","")</f>
        <v>*</v>
      </c>
      <c r="R16" s="194" t="s">
        <v>183</v>
      </c>
      <c r="S16" s="134" t="s">
        <v>185</v>
      </c>
    </row>
    <row r="17" spans="1:19" ht="14.1" customHeight="1" x14ac:dyDescent="0.25">
      <c r="A17" s="125">
        <v>59</v>
      </c>
      <c r="B17" s="28" t="s">
        <v>180</v>
      </c>
      <c r="C17" s="123" t="s">
        <v>186</v>
      </c>
      <c r="D17" s="123"/>
      <c r="E17" s="119"/>
      <c r="F17" s="60">
        <v>65280</v>
      </c>
      <c r="G17" s="119"/>
      <c r="H17" s="60">
        <f>(F17)+G17</f>
        <v>65280</v>
      </c>
      <c r="I17" s="14">
        <f>IF(J17="Y",H17*$I$5," ")</f>
        <v>7774.848</v>
      </c>
      <c r="J17" s="161" t="s">
        <v>182</v>
      </c>
      <c r="K17" s="14">
        <f>+$H17*$K$5</f>
        <v>4993.92</v>
      </c>
      <c r="L17" s="14">
        <f t="shared" si="1"/>
        <v>3624</v>
      </c>
      <c r="M17" s="128" t="s">
        <v>182</v>
      </c>
      <c r="N17" s="135">
        <f>+$H17*$L$5</f>
        <v>280.70400000000001</v>
      </c>
      <c r="O17" s="135">
        <f>IF(H17&gt;7000,7000*$N$5,H17*$N$5)</f>
        <v>21</v>
      </c>
      <c r="P17" s="13">
        <f>SUM(H17:I17,K17:L17,N17:O17)</f>
        <v>81974.471999999994</v>
      </c>
      <c r="Q17" s="134" t="str">
        <f>IF(P17&gt;0.49,"*","")</f>
        <v>*</v>
      </c>
      <c r="R17" s="193" t="s">
        <v>183</v>
      </c>
      <c r="S17" s="134" t="s">
        <v>185</v>
      </c>
    </row>
    <row r="18" spans="1:19" ht="14.1" customHeight="1" x14ac:dyDescent="0.25">
      <c r="A18" s="125">
        <v>60</v>
      </c>
      <c r="B18" s="28" t="s">
        <v>180</v>
      </c>
      <c r="C18" s="123" t="s">
        <v>187</v>
      </c>
      <c r="D18" s="123"/>
      <c r="E18" s="119"/>
      <c r="F18" s="60">
        <v>53958</v>
      </c>
      <c r="G18" s="119"/>
      <c r="H18" s="60">
        <f>(F18)+G18</f>
        <v>53958</v>
      </c>
      <c r="I18" s="14">
        <f>IF(J18="Y",H18*$I$5," ")</f>
        <v>6426.3977999999997</v>
      </c>
      <c r="J18" s="161" t="s">
        <v>182</v>
      </c>
      <c r="K18" s="14">
        <f>+$H18*$K$5</f>
        <v>4127.7870000000003</v>
      </c>
      <c r="L18" s="14">
        <f t="shared" si="1"/>
        <v>3624</v>
      </c>
      <c r="M18" s="128" t="s">
        <v>182</v>
      </c>
      <c r="N18" s="135">
        <f>+$H18*$L$5</f>
        <v>232.01939999999999</v>
      </c>
      <c r="O18" s="135">
        <f>IF(H18&gt;7000,7000*$N$5,H18*$N$5)</f>
        <v>21</v>
      </c>
      <c r="P18" s="13">
        <f>SUM(H18:I18,K18:L18,N18:O18)</f>
        <v>68389.204200000007</v>
      </c>
      <c r="Q18" s="134" t="str">
        <f>IF(P18&gt;0.49,"*","")</f>
        <v>*</v>
      </c>
      <c r="R18" s="193" t="s">
        <v>183</v>
      </c>
      <c r="S18" s="134" t="s">
        <v>185</v>
      </c>
    </row>
    <row r="19" spans="1:19" ht="14.1" customHeight="1" x14ac:dyDescent="0.25">
      <c r="A19" s="125"/>
      <c r="B19" s="28" t="s">
        <v>180</v>
      </c>
      <c r="C19" s="123" t="s">
        <v>435</v>
      </c>
      <c r="D19" s="123"/>
      <c r="E19" s="119"/>
      <c r="F19" s="60">
        <v>48000</v>
      </c>
      <c r="G19" s="119"/>
      <c r="H19" s="60">
        <f t="shared" si="5"/>
        <v>48000</v>
      </c>
      <c r="I19" s="14">
        <f t="shared" si="6"/>
        <v>5716.8</v>
      </c>
      <c r="J19" s="161" t="s">
        <v>182</v>
      </c>
      <c r="K19" s="14">
        <f>+$H19*$K$5</f>
        <v>3672</v>
      </c>
      <c r="L19" s="14">
        <f t="shared" si="1"/>
        <v>3624</v>
      </c>
      <c r="M19" s="128" t="s">
        <v>182</v>
      </c>
      <c r="N19" s="135">
        <f>+$H19*$L$5</f>
        <v>206.4</v>
      </c>
      <c r="O19" s="135">
        <f t="shared" ref="O19" si="9">IF(H19&gt;7000,7000*$N$5,H19*$N$5)</f>
        <v>21</v>
      </c>
      <c r="P19" s="13">
        <f t="shared" si="7"/>
        <v>61240.200000000004</v>
      </c>
      <c r="Q19" s="134" t="str">
        <f t="shared" ref="Q19" si="10">IF(P19&gt;0.49,"*","")</f>
        <v>*</v>
      </c>
      <c r="R19" s="193" t="s">
        <v>183</v>
      </c>
      <c r="S19" s="134" t="s">
        <v>185</v>
      </c>
    </row>
    <row r="20" spans="1:19" ht="14.1" customHeight="1" x14ac:dyDescent="0.25">
      <c r="A20" s="125">
        <v>60</v>
      </c>
      <c r="B20" s="28" t="s">
        <v>180</v>
      </c>
      <c r="C20" s="123" t="s">
        <v>375</v>
      </c>
      <c r="D20" s="123"/>
      <c r="E20" s="119"/>
      <c r="F20" s="60">
        <v>47500</v>
      </c>
      <c r="G20" s="119"/>
      <c r="H20" s="60">
        <f t="shared" si="5"/>
        <v>47500</v>
      </c>
      <c r="I20" s="14">
        <f t="shared" si="6"/>
        <v>5657.25</v>
      </c>
      <c r="J20" s="161" t="s">
        <v>182</v>
      </c>
      <c r="K20" s="14">
        <f t="shared" si="0"/>
        <v>3633.75</v>
      </c>
      <c r="L20" s="14">
        <f t="shared" si="1"/>
        <v>3624</v>
      </c>
      <c r="M20" s="128" t="s">
        <v>182</v>
      </c>
      <c r="N20" s="135">
        <f t="shared" si="2"/>
        <v>204.25</v>
      </c>
      <c r="O20" s="135">
        <f t="shared" si="3"/>
        <v>21</v>
      </c>
      <c r="P20" s="13">
        <f t="shared" si="7"/>
        <v>60640.25</v>
      </c>
      <c r="Q20" s="134" t="str">
        <f t="shared" si="4"/>
        <v>*</v>
      </c>
      <c r="R20" s="193" t="s">
        <v>183</v>
      </c>
      <c r="S20" s="134" t="s">
        <v>185</v>
      </c>
    </row>
    <row r="21" spans="1:19" ht="14.1" customHeight="1" x14ac:dyDescent="0.25">
      <c r="A21" s="125"/>
      <c r="B21" s="28" t="s">
        <v>180</v>
      </c>
      <c r="C21" s="34" t="s">
        <v>409</v>
      </c>
      <c r="E21" s="119"/>
      <c r="F21" s="60">
        <v>48500</v>
      </c>
      <c r="G21" s="119"/>
      <c r="H21" s="60">
        <f t="shared" ref="H21:H30" si="11">(F21)+G21</f>
        <v>48500</v>
      </c>
      <c r="I21" s="14">
        <f t="shared" ref="I21:I30" si="12">IF(J21="Y",H21*$I$5," ")</f>
        <v>5776.3499999999995</v>
      </c>
      <c r="J21" s="161" t="s">
        <v>182</v>
      </c>
      <c r="K21" s="14">
        <f t="shared" ref="K21:K30" si="13">+$H21*$K$5</f>
        <v>3710.25</v>
      </c>
      <c r="L21" s="14" t="str">
        <f t="shared" si="1"/>
        <v xml:space="preserve"> </v>
      </c>
      <c r="M21" s="128" t="s">
        <v>188</v>
      </c>
      <c r="N21" s="14">
        <f t="shared" ref="N21:N30" si="14">+$H21*$L$5</f>
        <v>208.55</v>
      </c>
      <c r="O21" s="14">
        <f>IF(H21&gt;7000,7000*$N$5,H21*$N$5)</f>
        <v>21</v>
      </c>
      <c r="P21" s="13">
        <f t="shared" ref="P21:P30" si="15">SUM(H21:I21,K21:L21,N21:O21)</f>
        <v>58216.15</v>
      </c>
      <c r="Q21" s="34" t="str">
        <f>IF(P21&gt;0.49,"*","")</f>
        <v>*</v>
      </c>
      <c r="R21" s="193" t="s">
        <v>183</v>
      </c>
      <c r="S21" s="134" t="s">
        <v>185</v>
      </c>
    </row>
    <row r="22" spans="1:19" s="134" customFormat="1" ht="13.2" x14ac:dyDescent="0.25">
      <c r="A22" s="125"/>
      <c r="B22" s="28" t="s">
        <v>180</v>
      </c>
      <c r="C22" s="123" t="s">
        <v>340</v>
      </c>
      <c r="D22" s="123"/>
      <c r="E22" s="119"/>
      <c r="F22" s="60">
        <v>47500</v>
      </c>
      <c r="G22" s="96"/>
      <c r="H22" s="60">
        <f t="shared" si="11"/>
        <v>47500</v>
      </c>
      <c r="I22" s="135">
        <f t="shared" si="12"/>
        <v>5657.25</v>
      </c>
      <c r="J22" s="125" t="s">
        <v>182</v>
      </c>
      <c r="K22" s="14">
        <f t="shared" si="13"/>
        <v>3633.75</v>
      </c>
      <c r="L22" s="14" t="str">
        <f t="shared" si="1"/>
        <v xml:space="preserve"> </v>
      </c>
      <c r="M22" s="128" t="s">
        <v>188</v>
      </c>
      <c r="N22" s="14">
        <f t="shared" si="14"/>
        <v>204.25</v>
      </c>
      <c r="O22" s="14">
        <f t="shared" ref="O22" si="16">IF(H22&gt;7000,7000*$N$5,H22*$N$5)</f>
        <v>21</v>
      </c>
      <c r="P22" s="13">
        <f t="shared" si="15"/>
        <v>57016.25</v>
      </c>
      <c r="Q22" s="34" t="str">
        <f t="shared" ref="Q22" si="17">IF(P22&gt;0.49,"*","")</f>
        <v>*</v>
      </c>
      <c r="R22" s="193" t="s">
        <v>183</v>
      </c>
      <c r="S22" s="134" t="s">
        <v>185</v>
      </c>
    </row>
    <row r="23" spans="1:19" ht="14.1" customHeight="1" x14ac:dyDescent="0.25">
      <c r="A23" s="125"/>
      <c r="B23" s="28" t="s">
        <v>180</v>
      </c>
      <c r="C23" s="266" t="s">
        <v>434</v>
      </c>
      <c r="D23" s="123"/>
      <c r="E23" s="119"/>
      <c r="F23" s="60">
        <v>47500</v>
      </c>
      <c r="G23" s="119"/>
      <c r="H23" s="60">
        <f t="shared" si="11"/>
        <v>47500</v>
      </c>
      <c r="I23" s="14">
        <f t="shared" si="12"/>
        <v>5657.25</v>
      </c>
      <c r="J23" s="161" t="s">
        <v>182</v>
      </c>
      <c r="K23" s="14">
        <f t="shared" si="13"/>
        <v>3633.75</v>
      </c>
      <c r="L23" s="14" t="str">
        <f t="shared" si="1"/>
        <v xml:space="preserve"> </v>
      </c>
      <c r="M23" s="128" t="s">
        <v>188</v>
      </c>
      <c r="N23" s="14">
        <f t="shared" si="14"/>
        <v>204.25</v>
      </c>
      <c r="O23" s="14">
        <f>IF(H23&gt;7000,7000*$N$5,H23*$N$5)</f>
        <v>21</v>
      </c>
      <c r="P23" s="13">
        <f t="shared" si="15"/>
        <v>57016.25</v>
      </c>
      <c r="Q23" s="34" t="str">
        <f>IF(P23&gt;0.49,"*","")</f>
        <v>*</v>
      </c>
      <c r="R23" s="193" t="s">
        <v>183</v>
      </c>
      <c r="S23" s="134" t="s">
        <v>185</v>
      </c>
    </row>
    <row r="24" spans="1:19" s="134" customFormat="1" ht="14.1" customHeight="1" x14ac:dyDescent="0.25">
      <c r="A24" s="125"/>
      <c r="B24" s="28" t="s">
        <v>180</v>
      </c>
      <c r="C24" s="123" t="s">
        <v>189</v>
      </c>
      <c r="D24" s="123"/>
      <c r="E24" s="119"/>
      <c r="F24" s="60">
        <v>47500</v>
      </c>
      <c r="G24" s="119"/>
      <c r="H24" s="60">
        <f t="shared" si="11"/>
        <v>47500</v>
      </c>
      <c r="I24" s="135">
        <f t="shared" si="12"/>
        <v>5657.25</v>
      </c>
      <c r="J24" s="125" t="s">
        <v>182</v>
      </c>
      <c r="K24" s="14">
        <f t="shared" si="13"/>
        <v>3633.75</v>
      </c>
      <c r="L24" s="14" t="str">
        <f t="shared" si="1"/>
        <v xml:space="preserve"> </v>
      </c>
      <c r="M24" s="128" t="s">
        <v>188</v>
      </c>
      <c r="N24" s="14">
        <f t="shared" si="14"/>
        <v>204.25</v>
      </c>
      <c r="O24" s="14">
        <f t="shared" ref="O24" si="18">IF(H24&gt;7000,7000*$N$5,H24*$N$5)</f>
        <v>21</v>
      </c>
      <c r="P24" s="13">
        <f t="shared" si="15"/>
        <v>57016.25</v>
      </c>
      <c r="Q24" s="34" t="str">
        <f t="shared" ref="Q24" si="19">IF(P24&gt;0.49,"*","")</f>
        <v>*</v>
      </c>
      <c r="R24" s="193" t="s">
        <v>183</v>
      </c>
      <c r="S24" s="134" t="s">
        <v>185</v>
      </c>
    </row>
    <row r="25" spans="1:19" s="134" customFormat="1" ht="14.1" customHeight="1" x14ac:dyDescent="0.25">
      <c r="A25" s="125"/>
      <c r="B25" s="28" t="s">
        <v>180</v>
      </c>
      <c r="C25" s="123" t="s">
        <v>190</v>
      </c>
      <c r="D25" s="123"/>
      <c r="E25" s="119"/>
      <c r="F25" s="60">
        <v>47500</v>
      </c>
      <c r="G25" s="60">
        <v>5880</v>
      </c>
      <c r="H25" s="60">
        <f t="shared" si="11"/>
        <v>53380</v>
      </c>
      <c r="I25" s="135">
        <f t="shared" si="12"/>
        <v>6357.558</v>
      </c>
      <c r="J25" s="125" t="s">
        <v>182</v>
      </c>
      <c r="K25" s="14">
        <f t="shared" si="13"/>
        <v>4083.5699999999997</v>
      </c>
      <c r="L25" s="14">
        <f t="shared" si="1"/>
        <v>3624</v>
      </c>
      <c r="M25" s="128" t="s">
        <v>182</v>
      </c>
      <c r="N25" s="14">
        <f t="shared" si="14"/>
        <v>229.53399999999999</v>
      </c>
      <c r="O25" s="14">
        <f t="shared" ref="O25" si="20">IF(H25&gt;7000,7000*$N$5,H25*$N$5)</f>
        <v>21</v>
      </c>
      <c r="P25" s="13">
        <f t="shared" si="15"/>
        <v>67695.661999999997</v>
      </c>
      <c r="Q25" s="34" t="str">
        <f>IF(P25&gt;0.49,"*","")</f>
        <v>*</v>
      </c>
      <c r="R25" s="193" t="s">
        <v>183</v>
      </c>
      <c r="S25" s="134" t="s">
        <v>185</v>
      </c>
    </row>
    <row r="26" spans="1:19" s="34" customFormat="1" ht="13.2" x14ac:dyDescent="0.25">
      <c r="A26" s="125"/>
      <c r="B26" s="28" t="s">
        <v>180</v>
      </c>
      <c r="C26" s="123" t="s">
        <v>376</v>
      </c>
      <c r="D26" s="123"/>
      <c r="E26" s="119"/>
      <c r="F26" s="60">
        <v>47500</v>
      </c>
      <c r="G26" s="127">
        <v>3480</v>
      </c>
      <c r="H26" s="60">
        <f t="shared" si="11"/>
        <v>50980</v>
      </c>
      <c r="I26" s="14">
        <f t="shared" si="12"/>
        <v>6071.7179999999998</v>
      </c>
      <c r="J26" s="125" t="s">
        <v>182</v>
      </c>
      <c r="K26" s="14">
        <f t="shared" si="13"/>
        <v>3899.97</v>
      </c>
      <c r="L26" s="14">
        <f t="shared" si="1"/>
        <v>3624</v>
      </c>
      <c r="M26" s="128" t="s">
        <v>182</v>
      </c>
      <c r="N26" s="14">
        <f t="shared" si="14"/>
        <v>219.214</v>
      </c>
      <c r="O26" s="14">
        <f>IF(H26&gt;7000,7000*$N$5,H26*$N$5)</f>
        <v>21</v>
      </c>
      <c r="P26" s="101">
        <f t="shared" si="15"/>
        <v>64815.902000000002</v>
      </c>
      <c r="Q26" s="34" t="str">
        <f>IF(P26&gt;0.49,"*","")</f>
        <v>*</v>
      </c>
      <c r="R26" s="194" t="s">
        <v>183</v>
      </c>
      <c r="S26" s="134" t="s">
        <v>185</v>
      </c>
    </row>
    <row r="27" spans="1:19" s="134" customFormat="1" ht="14.1" customHeight="1" x14ac:dyDescent="0.25">
      <c r="A27" s="125"/>
      <c r="B27" s="28" t="s">
        <v>180</v>
      </c>
      <c r="C27" s="123" t="s">
        <v>191</v>
      </c>
      <c r="D27" s="123"/>
      <c r="E27" s="119"/>
      <c r="F27" s="60">
        <v>47500</v>
      </c>
      <c r="G27" s="60"/>
      <c r="H27" s="60">
        <f t="shared" si="11"/>
        <v>47500</v>
      </c>
      <c r="I27" s="135">
        <f t="shared" si="12"/>
        <v>5657.25</v>
      </c>
      <c r="J27" s="125" t="s">
        <v>182</v>
      </c>
      <c r="K27" s="14">
        <f t="shared" si="13"/>
        <v>3633.75</v>
      </c>
      <c r="L27" s="14">
        <f t="shared" si="1"/>
        <v>3624</v>
      </c>
      <c r="M27" s="128" t="s">
        <v>182</v>
      </c>
      <c r="N27" s="14">
        <f t="shared" si="14"/>
        <v>204.25</v>
      </c>
      <c r="O27" s="14">
        <f t="shared" ref="O27" si="21">IF(H27&gt;7000,7000*$N$5,H27*$N$5)</f>
        <v>21</v>
      </c>
      <c r="P27" s="13">
        <f t="shared" si="15"/>
        <v>60640.25</v>
      </c>
      <c r="Q27" s="34" t="str">
        <f t="shared" ref="Q27" si="22">IF(P27&gt;0.49,"*","")</f>
        <v>*</v>
      </c>
      <c r="R27" s="193" t="s">
        <v>183</v>
      </c>
      <c r="S27" s="134" t="s">
        <v>185</v>
      </c>
    </row>
    <row r="28" spans="1:19" ht="14.1" customHeight="1" x14ac:dyDescent="0.25">
      <c r="A28" s="125">
        <v>61</v>
      </c>
      <c r="B28" s="28" t="s">
        <v>180</v>
      </c>
      <c r="C28" s="123" t="s">
        <v>350</v>
      </c>
      <c r="D28" s="123"/>
      <c r="E28" s="119"/>
      <c r="F28" s="60">
        <v>47500</v>
      </c>
      <c r="G28" s="60"/>
      <c r="H28" s="60">
        <f t="shared" si="11"/>
        <v>47500</v>
      </c>
      <c r="I28" s="14">
        <f t="shared" si="12"/>
        <v>5657.25</v>
      </c>
      <c r="J28" s="161" t="s">
        <v>182</v>
      </c>
      <c r="K28" s="14">
        <f t="shared" si="13"/>
        <v>3633.75</v>
      </c>
      <c r="L28" s="14">
        <f t="shared" si="1"/>
        <v>3624</v>
      </c>
      <c r="M28" s="128" t="s">
        <v>182</v>
      </c>
      <c r="N28" s="135">
        <f t="shared" si="14"/>
        <v>204.25</v>
      </c>
      <c r="O28" s="135">
        <f>IF(H28&gt;7000,7000*$N$5,H28*$N$5)</f>
        <v>21</v>
      </c>
      <c r="P28" s="13">
        <f t="shared" si="15"/>
        <v>60640.25</v>
      </c>
      <c r="Q28" s="134" t="str">
        <f>IF(P28&gt;0.49,"*","")</f>
        <v>*</v>
      </c>
      <c r="R28" s="193" t="s">
        <v>183</v>
      </c>
      <c r="S28" s="134" t="s">
        <v>185</v>
      </c>
    </row>
    <row r="29" spans="1:19" s="134" customFormat="1" ht="14.1" customHeight="1" x14ac:dyDescent="0.25">
      <c r="A29" s="125"/>
      <c r="B29" s="28" t="s">
        <v>180</v>
      </c>
      <c r="C29" s="123" t="s">
        <v>410</v>
      </c>
      <c r="D29" s="123"/>
      <c r="E29" s="119"/>
      <c r="F29" s="60">
        <v>47500</v>
      </c>
      <c r="G29" s="60"/>
      <c r="H29" s="60">
        <f t="shared" si="11"/>
        <v>47500</v>
      </c>
      <c r="I29" s="135">
        <f t="shared" si="12"/>
        <v>5657.25</v>
      </c>
      <c r="J29" s="125" t="s">
        <v>182</v>
      </c>
      <c r="K29" s="14">
        <f t="shared" si="13"/>
        <v>3633.75</v>
      </c>
      <c r="L29" s="14" t="str">
        <f t="shared" si="1"/>
        <v xml:space="preserve"> </v>
      </c>
      <c r="M29" s="128" t="s">
        <v>188</v>
      </c>
      <c r="N29" s="14">
        <f t="shared" si="14"/>
        <v>204.25</v>
      </c>
      <c r="O29" s="14">
        <f>IF(H29&gt;7000,7000*$N$5,H29*$N$5)</f>
        <v>21</v>
      </c>
      <c r="P29" s="13">
        <f t="shared" si="15"/>
        <v>57016.25</v>
      </c>
      <c r="Q29" s="34" t="str">
        <f t="shared" ref="Q29" si="23">IF(P29&gt;0.49,"*","")</f>
        <v>*</v>
      </c>
      <c r="R29" s="193" t="s">
        <v>183</v>
      </c>
      <c r="S29" s="134" t="s">
        <v>185</v>
      </c>
    </row>
    <row r="30" spans="1:19" ht="13.2" x14ac:dyDescent="0.25">
      <c r="A30" s="125"/>
      <c r="B30" s="28" t="s">
        <v>180</v>
      </c>
      <c r="C30" s="123" t="s">
        <v>192</v>
      </c>
      <c r="D30" s="123"/>
      <c r="E30" s="119"/>
      <c r="F30" s="60">
        <v>48450</v>
      </c>
      <c r="G30" s="60"/>
      <c r="H30" s="60">
        <f t="shared" si="11"/>
        <v>48450</v>
      </c>
      <c r="I30" s="135">
        <f t="shared" si="12"/>
        <v>5770.3949999999995</v>
      </c>
      <c r="J30" s="125" t="s">
        <v>182</v>
      </c>
      <c r="K30" s="14">
        <f t="shared" si="13"/>
        <v>3706.4249999999997</v>
      </c>
      <c r="L30" s="14">
        <f t="shared" si="1"/>
        <v>3624</v>
      </c>
      <c r="M30" s="128" t="s">
        <v>182</v>
      </c>
      <c r="N30" s="14">
        <f t="shared" si="14"/>
        <v>208.33500000000001</v>
      </c>
      <c r="O30" s="14">
        <f t="shared" ref="O30" si="24">IF(H30&gt;7000,7000*$N$5,H30*$N$5)</f>
        <v>21</v>
      </c>
      <c r="P30" s="13">
        <f t="shared" si="15"/>
        <v>61780.154999999999</v>
      </c>
      <c r="Q30" s="34" t="str">
        <f>IF(P30&gt;0.49,"*","")</f>
        <v>*</v>
      </c>
      <c r="R30" s="193" t="s">
        <v>183</v>
      </c>
      <c r="S30" s="134" t="s">
        <v>185</v>
      </c>
    </row>
    <row r="31" spans="1:19" s="134" customFormat="1" ht="13.2" x14ac:dyDescent="0.25">
      <c r="A31" s="125"/>
      <c r="B31" s="28" t="s">
        <v>180</v>
      </c>
      <c r="C31" s="123" t="s">
        <v>411</v>
      </c>
      <c r="D31" s="123"/>
      <c r="E31" s="119"/>
      <c r="F31" s="60">
        <v>55600</v>
      </c>
      <c r="G31" s="60"/>
      <c r="H31" s="60">
        <f>(F31)+G31</f>
        <v>55600</v>
      </c>
      <c r="I31" s="135">
        <f>IF(J31="Y",H31*$I$5," ")</f>
        <v>6621.96</v>
      </c>
      <c r="J31" s="125" t="s">
        <v>182</v>
      </c>
      <c r="K31" s="14">
        <f>+$H31*$K$5</f>
        <v>4253.3999999999996</v>
      </c>
      <c r="L31" s="14" t="str">
        <f t="shared" si="1"/>
        <v xml:space="preserve"> </v>
      </c>
      <c r="M31" s="128" t="s">
        <v>188</v>
      </c>
      <c r="N31" s="14">
        <f>+$H31*$L$5</f>
        <v>239.08</v>
      </c>
      <c r="O31" s="14">
        <f>IF(H31&gt;7000,7000*$N$5,H31*$N$5)</f>
        <v>21</v>
      </c>
      <c r="P31" s="13">
        <f>SUM(H31:I31,K31:L31,N31:O31)</f>
        <v>66735.44</v>
      </c>
      <c r="Q31" s="34" t="str">
        <f>IF(P31&gt;0.49,"*","")</f>
        <v>*</v>
      </c>
      <c r="R31" s="193" t="s">
        <v>183</v>
      </c>
      <c r="S31" s="134" t="s">
        <v>185</v>
      </c>
    </row>
    <row r="32" spans="1:19" ht="14.1" customHeight="1" x14ac:dyDescent="0.25">
      <c r="A32" s="125"/>
      <c r="B32" s="28" t="s">
        <v>180</v>
      </c>
      <c r="C32" s="123" t="s">
        <v>412</v>
      </c>
      <c r="D32" s="123"/>
      <c r="E32" s="127"/>
      <c r="F32" s="60">
        <v>59500</v>
      </c>
      <c r="G32" s="127"/>
      <c r="H32" s="60">
        <f>(F32)+G32</f>
        <v>59500</v>
      </c>
      <c r="I32" s="135">
        <f>IF(J32="Y",H32*$I$5," ")</f>
        <v>7086.45</v>
      </c>
      <c r="J32" s="125" t="s">
        <v>182</v>
      </c>
      <c r="K32" s="14">
        <f>+$H32*$K$5</f>
        <v>4551.75</v>
      </c>
      <c r="L32" s="14">
        <f t="shared" si="1"/>
        <v>3624</v>
      </c>
      <c r="M32" s="128" t="s">
        <v>182</v>
      </c>
      <c r="N32" s="14">
        <f>+$H32*$L$5</f>
        <v>255.85</v>
      </c>
      <c r="O32" s="14">
        <f>IF(H32&gt;7000,7000*$N$5,H32*$N$5)</f>
        <v>21</v>
      </c>
      <c r="P32" s="13">
        <f t="shared" ref="P32:P35" si="25">SUM(H32:I32,K32:L32,N32:O32)</f>
        <v>75039.05</v>
      </c>
      <c r="Q32" s="34" t="str">
        <f t="shared" ref="Q32" si="26">IF(P32&gt;0.49,"*","")</f>
        <v>*</v>
      </c>
      <c r="R32" s="193" t="s">
        <v>183</v>
      </c>
      <c r="S32" s="134" t="s">
        <v>185</v>
      </c>
    </row>
    <row r="33" spans="1:20" ht="14.1" customHeight="1" x14ac:dyDescent="0.25">
      <c r="A33" s="125"/>
      <c r="B33" s="28" t="s">
        <v>180</v>
      </c>
      <c r="C33" s="149" t="s">
        <v>14</v>
      </c>
      <c r="D33" s="149"/>
      <c r="E33" s="244"/>
      <c r="F33" s="245"/>
      <c r="G33" s="127"/>
      <c r="H33" s="60"/>
      <c r="I33" s="135" t="str">
        <f t="shared" si="6"/>
        <v xml:space="preserve"> </v>
      </c>
      <c r="J33" s="125"/>
      <c r="K33" s="14"/>
      <c r="L33" s="14"/>
      <c r="M33" s="128" t="s">
        <v>188</v>
      </c>
      <c r="N33" s="14"/>
      <c r="O33" s="14"/>
      <c r="P33" s="13">
        <f t="shared" si="25"/>
        <v>0</v>
      </c>
      <c r="Q33" s="34" t="s">
        <v>2</v>
      </c>
      <c r="S33" s="134"/>
      <c r="T33" s="244"/>
    </row>
    <row r="34" spans="1:20" ht="14.1" hidden="1" customHeight="1" x14ac:dyDescent="0.25">
      <c r="A34" s="125">
        <v>6</v>
      </c>
      <c r="B34" s="28" t="s">
        <v>180</v>
      </c>
      <c r="C34" s="123"/>
      <c r="D34" s="123"/>
      <c r="E34" s="119"/>
      <c r="F34" s="60"/>
      <c r="G34" s="119"/>
      <c r="H34" s="60">
        <f t="shared" ref="H34:H39" si="27">(F34)+G34</f>
        <v>0</v>
      </c>
      <c r="I34" s="135">
        <f t="shared" ref="I34:I43" si="28">IF(J34="Y",H34*$I$5," ")</f>
        <v>0</v>
      </c>
      <c r="J34" s="125" t="s">
        <v>182</v>
      </c>
      <c r="K34" s="135">
        <f t="shared" ref="K34:K44" si="29">+$H34*$K$5</f>
        <v>0</v>
      </c>
      <c r="L34" s="14" t="str">
        <f t="shared" ref="L34:L44" si="30">IF(M34="Y",3624," ")</f>
        <v xml:space="preserve"> </v>
      </c>
      <c r="M34" s="128" t="s">
        <v>188</v>
      </c>
      <c r="N34" s="135">
        <f t="shared" ref="N34:N44" si="31">+$H34*$L$5</f>
        <v>0</v>
      </c>
      <c r="O34" s="135">
        <f t="shared" ref="O34:O39" si="32">IF(H34&gt;7000,7000*$N$5,H34*$N$5)</f>
        <v>0</v>
      </c>
      <c r="P34" s="13">
        <f t="shared" si="25"/>
        <v>0</v>
      </c>
      <c r="Q34" s="134" t="str">
        <f>IF(P34&gt;0.49,"*","")</f>
        <v/>
      </c>
      <c r="S34" s="134"/>
    </row>
    <row r="35" spans="1:20" ht="14.1" hidden="1" customHeight="1" x14ac:dyDescent="0.25">
      <c r="A35" s="125"/>
      <c r="B35" s="28" t="s">
        <v>180</v>
      </c>
      <c r="C35" s="123"/>
      <c r="D35" s="123"/>
      <c r="E35" s="119"/>
      <c r="F35" s="60"/>
      <c r="G35" s="119"/>
      <c r="H35" s="60">
        <f t="shared" si="27"/>
        <v>0</v>
      </c>
      <c r="I35" s="135">
        <f t="shared" si="28"/>
        <v>0</v>
      </c>
      <c r="J35" s="161" t="s">
        <v>182</v>
      </c>
      <c r="K35" s="14">
        <f t="shared" si="29"/>
        <v>0</v>
      </c>
      <c r="L35" s="14" t="str">
        <f t="shared" si="30"/>
        <v xml:space="preserve"> </v>
      </c>
      <c r="M35" s="128" t="s">
        <v>188</v>
      </c>
      <c r="N35" s="14">
        <f t="shared" si="31"/>
        <v>0</v>
      </c>
      <c r="O35" s="14">
        <f t="shared" si="32"/>
        <v>0</v>
      </c>
      <c r="P35" s="13">
        <f t="shared" si="25"/>
        <v>0</v>
      </c>
      <c r="Q35" s="134" t="str">
        <f>IF(P35&gt;0.49,"*","")</f>
        <v/>
      </c>
      <c r="S35" s="134"/>
    </row>
    <row r="36" spans="1:20" ht="14.1" customHeight="1" x14ac:dyDescent="0.25">
      <c r="A36" s="125"/>
      <c r="B36" s="28" t="s">
        <v>180</v>
      </c>
      <c r="C36" s="123" t="s">
        <v>378</v>
      </c>
      <c r="D36" s="123"/>
      <c r="E36" s="119"/>
      <c r="F36" s="60">
        <v>47500</v>
      </c>
      <c r="G36" s="60"/>
      <c r="H36" s="60">
        <f t="shared" si="27"/>
        <v>47500</v>
      </c>
      <c r="I36" s="135">
        <f t="shared" si="28"/>
        <v>5657.25</v>
      </c>
      <c r="J36" s="125" t="s">
        <v>182</v>
      </c>
      <c r="K36" s="135">
        <f t="shared" si="29"/>
        <v>3633.75</v>
      </c>
      <c r="L36" s="14">
        <f t="shared" si="30"/>
        <v>3624</v>
      </c>
      <c r="M36" s="128" t="s">
        <v>182</v>
      </c>
      <c r="N36" s="135">
        <f t="shared" si="31"/>
        <v>204.25</v>
      </c>
      <c r="O36" s="135">
        <f t="shared" si="32"/>
        <v>21</v>
      </c>
      <c r="P36" s="13">
        <f t="shared" ref="P36:P43" si="33">SUM(H36:I36,K36:L36,N36:O36)</f>
        <v>60640.25</v>
      </c>
      <c r="Q36" s="134" t="str">
        <f t="shared" ref="Q36" si="34">IF(P36&gt;0.49,"*","")</f>
        <v>*</v>
      </c>
      <c r="R36" s="193" t="s">
        <v>183</v>
      </c>
      <c r="S36" s="134" t="s">
        <v>185</v>
      </c>
    </row>
    <row r="37" spans="1:20" s="134" customFormat="1" ht="13.2" x14ac:dyDescent="0.25">
      <c r="A37" s="31"/>
      <c r="B37" s="28" t="s">
        <v>180</v>
      </c>
      <c r="C37" s="123" t="s">
        <v>345</v>
      </c>
      <c r="D37" s="123"/>
      <c r="E37" s="119"/>
      <c r="F37" s="60">
        <v>47500</v>
      </c>
      <c r="G37" s="60"/>
      <c r="H37" s="60">
        <f t="shared" si="27"/>
        <v>47500</v>
      </c>
      <c r="I37" s="135">
        <f t="shared" si="28"/>
        <v>5657.25</v>
      </c>
      <c r="J37" s="125" t="s">
        <v>182</v>
      </c>
      <c r="K37" s="135">
        <f t="shared" si="29"/>
        <v>3633.75</v>
      </c>
      <c r="L37" s="14">
        <f t="shared" si="30"/>
        <v>3624</v>
      </c>
      <c r="M37" s="128" t="s">
        <v>182</v>
      </c>
      <c r="N37" s="135">
        <f t="shared" si="31"/>
        <v>204.25</v>
      </c>
      <c r="O37" s="135">
        <f t="shared" si="32"/>
        <v>21</v>
      </c>
      <c r="P37" s="13">
        <f t="shared" si="33"/>
        <v>60640.25</v>
      </c>
      <c r="Q37" s="134" t="str">
        <f t="shared" ref="Q37" si="35">IF(P37&gt;0.49,"*","")</f>
        <v>*</v>
      </c>
      <c r="R37" s="193" t="s">
        <v>183</v>
      </c>
      <c r="S37" s="134" t="s">
        <v>185</v>
      </c>
    </row>
    <row r="38" spans="1:20" s="134" customFormat="1" ht="13.2" x14ac:dyDescent="0.25">
      <c r="A38" s="31"/>
      <c r="B38" s="28" t="s">
        <v>180</v>
      </c>
      <c r="C38" s="123" t="s">
        <v>413</v>
      </c>
      <c r="D38" s="123"/>
      <c r="E38" s="119"/>
      <c r="F38" s="60">
        <v>47500</v>
      </c>
      <c r="G38" s="60"/>
      <c r="H38" s="60">
        <f t="shared" si="27"/>
        <v>47500</v>
      </c>
      <c r="I38" s="135">
        <f t="shared" si="28"/>
        <v>5657.25</v>
      </c>
      <c r="J38" s="125" t="s">
        <v>182</v>
      </c>
      <c r="K38" s="135">
        <f t="shared" si="29"/>
        <v>3633.75</v>
      </c>
      <c r="L38" s="14" t="str">
        <f t="shared" si="30"/>
        <v xml:space="preserve"> </v>
      </c>
      <c r="M38" s="128" t="s">
        <v>188</v>
      </c>
      <c r="N38" s="135">
        <f t="shared" si="31"/>
        <v>204.25</v>
      </c>
      <c r="O38" s="135">
        <f t="shared" si="32"/>
        <v>21</v>
      </c>
      <c r="P38" s="13">
        <f t="shared" si="33"/>
        <v>57016.25</v>
      </c>
      <c r="Q38" s="134" t="str">
        <f>IF(P38&gt;0.49,"*","")</f>
        <v>*</v>
      </c>
      <c r="R38" s="193" t="s">
        <v>183</v>
      </c>
      <c r="S38" s="134" t="s">
        <v>185</v>
      </c>
      <c r="T38" s="173"/>
    </row>
    <row r="39" spans="1:20" s="34" customFormat="1" ht="14.1" customHeight="1" x14ac:dyDescent="0.25">
      <c r="A39" s="161"/>
      <c r="B39" s="28" t="s">
        <v>180</v>
      </c>
      <c r="C39" s="123" t="s">
        <v>414</v>
      </c>
      <c r="D39" s="123"/>
      <c r="E39" s="119"/>
      <c r="F39" s="60">
        <v>63000</v>
      </c>
      <c r="G39" s="60"/>
      <c r="H39" s="60">
        <f t="shared" si="27"/>
        <v>63000</v>
      </c>
      <c r="I39" s="14">
        <f t="shared" si="28"/>
        <v>7503.3</v>
      </c>
      <c r="J39" s="161" t="s">
        <v>182</v>
      </c>
      <c r="K39" s="14">
        <f t="shared" si="29"/>
        <v>4819.5</v>
      </c>
      <c r="L39" s="14">
        <f t="shared" si="30"/>
        <v>3624</v>
      </c>
      <c r="M39" s="128" t="s">
        <v>231</v>
      </c>
      <c r="N39" s="14">
        <f t="shared" si="31"/>
        <v>270.89999999999998</v>
      </c>
      <c r="O39" s="14">
        <f t="shared" si="32"/>
        <v>21</v>
      </c>
      <c r="P39" s="101">
        <f t="shared" si="33"/>
        <v>79238.7</v>
      </c>
      <c r="Q39" s="34" t="str">
        <f t="shared" ref="Q39" si="36">IF(P39&gt;0.49,"*","")</f>
        <v>*</v>
      </c>
      <c r="R39" s="194" t="s">
        <v>183</v>
      </c>
      <c r="S39" s="134" t="s">
        <v>185</v>
      </c>
    </row>
    <row r="40" spans="1:20" ht="14.1" customHeight="1" x14ac:dyDescent="0.25">
      <c r="A40" s="125"/>
      <c r="B40" s="28" t="s">
        <v>180</v>
      </c>
      <c r="C40" s="254" t="s">
        <v>370</v>
      </c>
      <c r="D40" s="123"/>
      <c r="E40" s="119"/>
      <c r="F40" s="60">
        <v>61200</v>
      </c>
      <c r="G40" s="60"/>
      <c r="H40" s="60">
        <f t="shared" ref="H40" si="37">(F40)+G40</f>
        <v>61200</v>
      </c>
      <c r="I40" s="135">
        <f t="shared" si="28"/>
        <v>7288.92</v>
      </c>
      <c r="J40" s="125" t="s">
        <v>182</v>
      </c>
      <c r="K40" s="135">
        <f t="shared" si="29"/>
        <v>4681.8</v>
      </c>
      <c r="L40" s="14">
        <f t="shared" si="30"/>
        <v>3624</v>
      </c>
      <c r="M40" s="128" t="s">
        <v>182</v>
      </c>
      <c r="N40" s="135">
        <f t="shared" si="31"/>
        <v>263.16000000000003</v>
      </c>
      <c r="O40" s="135">
        <f t="shared" ref="O40" si="38">IF(H40&gt;7000,7000*$N$5,H40*$N$5)</f>
        <v>21</v>
      </c>
      <c r="P40" s="13">
        <f t="shared" si="33"/>
        <v>77078.880000000005</v>
      </c>
      <c r="Q40" s="134" t="str">
        <f>IF(P40&gt;0.49,"*","")</f>
        <v>*</v>
      </c>
      <c r="R40" s="193" t="s">
        <v>183</v>
      </c>
      <c r="S40" s="134" t="s">
        <v>185</v>
      </c>
    </row>
    <row r="41" spans="1:20" s="134" customFormat="1" ht="14.1" customHeight="1" x14ac:dyDescent="0.25">
      <c r="A41" s="125"/>
      <c r="B41" s="28" t="s">
        <v>180</v>
      </c>
      <c r="C41" s="123" t="s">
        <v>379</v>
      </c>
      <c r="D41" s="123"/>
      <c r="E41" s="119"/>
      <c r="F41" s="60">
        <v>47500</v>
      </c>
      <c r="G41" s="60"/>
      <c r="H41" s="60">
        <f>(F41)+G41</f>
        <v>47500</v>
      </c>
      <c r="I41" s="135">
        <f t="shared" si="28"/>
        <v>5657.25</v>
      </c>
      <c r="J41" s="125" t="s">
        <v>182</v>
      </c>
      <c r="K41" s="135">
        <f t="shared" si="29"/>
        <v>3633.75</v>
      </c>
      <c r="L41" s="14">
        <f t="shared" si="30"/>
        <v>3624</v>
      </c>
      <c r="M41" s="128" t="s">
        <v>182</v>
      </c>
      <c r="N41" s="135">
        <f t="shared" si="31"/>
        <v>204.25</v>
      </c>
      <c r="O41" s="135">
        <f t="shared" ref="O41" si="39">IF(H41&gt;7000,7000*$N$5,H41*$N$5)</f>
        <v>21</v>
      </c>
      <c r="P41" s="13">
        <f t="shared" si="33"/>
        <v>60640.25</v>
      </c>
      <c r="Q41" s="134" t="str">
        <f t="shared" ref="Q41" si="40">IF(P41&gt;0.49,"*","")</f>
        <v>*</v>
      </c>
      <c r="R41" s="193" t="s">
        <v>183</v>
      </c>
      <c r="S41" s="134" t="s">
        <v>185</v>
      </c>
    </row>
    <row r="42" spans="1:20" s="34" customFormat="1" ht="14.1" customHeight="1" x14ac:dyDescent="0.25">
      <c r="A42" s="161"/>
      <c r="B42" s="28" t="s">
        <v>180</v>
      </c>
      <c r="C42" s="123" t="s">
        <v>351</v>
      </c>
      <c r="D42" s="123"/>
      <c r="E42" s="119"/>
      <c r="F42" s="60">
        <v>47500</v>
      </c>
      <c r="G42" s="60"/>
      <c r="H42" s="60">
        <f>(F42)+G42</f>
        <v>47500</v>
      </c>
      <c r="I42" s="14">
        <f t="shared" si="28"/>
        <v>5657.25</v>
      </c>
      <c r="J42" s="161" t="s">
        <v>182</v>
      </c>
      <c r="K42" s="14">
        <f t="shared" si="29"/>
        <v>3633.75</v>
      </c>
      <c r="L42" s="14">
        <f t="shared" si="30"/>
        <v>3624</v>
      </c>
      <c r="M42" s="128" t="s">
        <v>182</v>
      </c>
      <c r="N42" s="14">
        <f t="shared" si="31"/>
        <v>204.25</v>
      </c>
      <c r="O42" s="14">
        <f>IF(H42&gt;7000,7000*$N$5,H42*$N$5)</f>
        <v>21</v>
      </c>
      <c r="P42" s="101">
        <f t="shared" si="33"/>
        <v>60640.25</v>
      </c>
      <c r="Q42" s="34" t="str">
        <f t="shared" si="4"/>
        <v>*</v>
      </c>
      <c r="R42" s="194" t="s">
        <v>183</v>
      </c>
      <c r="S42" s="134" t="s">
        <v>185</v>
      </c>
    </row>
    <row r="43" spans="1:20" s="134" customFormat="1" ht="14.1" hidden="1" customHeight="1" x14ac:dyDescent="0.25">
      <c r="A43" s="125"/>
      <c r="B43" s="28" t="s">
        <v>180</v>
      </c>
      <c r="C43" s="123"/>
      <c r="D43" s="123"/>
      <c r="E43" s="96"/>
      <c r="F43" s="60"/>
      <c r="G43" s="119"/>
      <c r="H43" s="60">
        <f t="shared" ref="H43" si="41">(F43)+G43</f>
        <v>0</v>
      </c>
      <c r="I43" s="135">
        <f t="shared" si="28"/>
        <v>0</v>
      </c>
      <c r="J43" s="125" t="s">
        <v>182</v>
      </c>
      <c r="K43" s="135">
        <f t="shared" si="29"/>
        <v>0</v>
      </c>
      <c r="L43" s="14" t="str">
        <f t="shared" si="30"/>
        <v xml:space="preserve"> </v>
      </c>
      <c r="M43" s="128" t="s">
        <v>188</v>
      </c>
      <c r="N43" s="135">
        <f t="shared" si="31"/>
        <v>0</v>
      </c>
      <c r="O43" s="135">
        <f>IF(H43&gt;7000,7000*$N$5,H43*$N$5)</f>
        <v>0</v>
      </c>
      <c r="P43" s="13">
        <f t="shared" si="33"/>
        <v>0</v>
      </c>
      <c r="Q43" s="134" t="str">
        <f t="shared" ref="Q43" si="42">IF(P43&gt;0.49,"*","")</f>
        <v/>
      </c>
      <c r="R43" s="193"/>
    </row>
    <row r="44" spans="1:20" s="134" customFormat="1" ht="13.2" hidden="1" x14ac:dyDescent="0.25">
      <c r="A44" s="31">
        <v>7</v>
      </c>
      <c r="B44" s="28" t="s">
        <v>180</v>
      </c>
      <c r="C44" s="123"/>
      <c r="D44" s="123"/>
      <c r="E44" s="96"/>
      <c r="F44" s="60"/>
      <c r="G44" s="119"/>
      <c r="H44" s="60">
        <f t="shared" ref="H44" si="43">(F44)+G44</f>
        <v>0</v>
      </c>
      <c r="I44" s="135">
        <f t="shared" ref="I44" si="44">IF(J44="Y",H44*$I$5," ")</f>
        <v>0</v>
      </c>
      <c r="J44" s="125" t="s">
        <v>182</v>
      </c>
      <c r="K44" s="135">
        <f t="shared" si="29"/>
        <v>0</v>
      </c>
      <c r="L44" s="14" t="str">
        <f t="shared" si="30"/>
        <v xml:space="preserve"> </v>
      </c>
      <c r="M44" s="128" t="s">
        <v>188</v>
      </c>
      <c r="N44" s="135">
        <f t="shared" si="31"/>
        <v>0</v>
      </c>
      <c r="O44" s="135">
        <f t="shared" ref="O44" si="45">IF(H44&gt;7000,7000*$N$5,H44*$N$5)</f>
        <v>0</v>
      </c>
      <c r="P44" s="13">
        <f t="shared" ref="P44" si="46">SUM(H44:I44,K44:L44,N44:O44)</f>
        <v>0</v>
      </c>
      <c r="Q44" s="134" t="str">
        <f>IF(P44&gt;0.49,"*","")</f>
        <v/>
      </c>
      <c r="R44" s="193"/>
    </row>
    <row r="45" spans="1:20" ht="14.1" hidden="1" customHeight="1" x14ac:dyDescent="0.25">
      <c r="A45" s="32" t="e">
        <f>+#REF!</f>
        <v>#REF!</v>
      </c>
      <c r="B45" s="28" t="s">
        <v>180</v>
      </c>
      <c r="C45" s="123"/>
      <c r="D45" s="123"/>
      <c r="E45" s="127"/>
      <c r="F45" s="60"/>
      <c r="G45" s="127"/>
      <c r="H45" s="60"/>
      <c r="I45" s="135" t="str">
        <f t="shared" ref="I45:I47" si="47">IF(J45="Y",H45*$I$5," ")</f>
        <v xml:space="preserve"> </v>
      </c>
      <c r="J45" s="125"/>
      <c r="K45" s="135">
        <f t="shared" si="0"/>
        <v>0</v>
      </c>
      <c r="L45" s="14" t="str">
        <f t="shared" ref="L45:L47" si="48">IF(M45="Y",2400," ")</f>
        <v xml:space="preserve"> </v>
      </c>
      <c r="M45" s="128" t="s">
        <v>188</v>
      </c>
      <c r="N45" s="135">
        <f t="shared" si="2"/>
        <v>0</v>
      </c>
      <c r="O45" s="135">
        <f t="shared" si="3"/>
        <v>0</v>
      </c>
      <c r="P45" s="13">
        <f t="shared" ref="P45:P47" si="49">SUM(K45:O45,H45:I45)</f>
        <v>0</v>
      </c>
      <c r="Q45" s="134" t="str">
        <f t="shared" ref="Q45:Q48" si="50">IF(P45&gt;0.49,"*","")</f>
        <v/>
      </c>
      <c r="R45" s="134"/>
      <c r="S45" s="134"/>
    </row>
    <row r="46" spans="1:20" ht="14.1" hidden="1" customHeight="1" x14ac:dyDescent="0.25">
      <c r="A46" s="32" t="e">
        <f>+#REF!</f>
        <v>#REF!</v>
      </c>
      <c r="B46" s="28" t="s">
        <v>180</v>
      </c>
      <c r="C46" s="123"/>
      <c r="D46" s="123"/>
      <c r="E46" s="127"/>
      <c r="F46" s="60"/>
      <c r="G46" s="127"/>
      <c r="H46" s="60"/>
      <c r="I46" s="135" t="str">
        <f t="shared" si="47"/>
        <v xml:space="preserve"> </v>
      </c>
      <c r="J46" s="125"/>
      <c r="K46" s="135">
        <f t="shared" si="0"/>
        <v>0</v>
      </c>
      <c r="L46" s="14" t="str">
        <f t="shared" si="48"/>
        <v xml:space="preserve"> </v>
      </c>
      <c r="M46" s="128" t="s">
        <v>188</v>
      </c>
      <c r="N46" s="135">
        <f t="shared" si="2"/>
        <v>0</v>
      </c>
      <c r="O46" s="135">
        <f t="shared" si="3"/>
        <v>0</v>
      </c>
      <c r="P46" s="13">
        <f t="shared" si="49"/>
        <v>0</v>
      </c>
      <c r="Q46" s="134" t="str">
        <f t="shared" si="50"/>
        <v/>
      </c>
      <c r="R46" s="134"/>
      <c r="S46" s="134"/>
    </row>
    <row r="47" spans="1:20" ht="14.1" hidden="1" customHeight="1" x14ac:dyDescent="0.25">
      <c r="A47" s="33"/>
      <c r="B47" s="28" t="s">
        <v>180</v>
      </c>
      <c r="C47" s="123"/>
      <c r="D47" s="123"/>
      <c r="E47" s="127"/>
      <c r="F47" s="60"/>
      <c r="G47" s="127"/>
      <c r="H47" s="60"/>
      <c r="I47" s="135" t="str">
        <f t="shared" si="47"/>
        <v xml:space="preserve"> </v>
      </c>
      <c r="J47" s="125"/>
      <c r="K47" s="135">
        <f t="shared" si="0"/>
        <v>0</v>
      </c>
      <c r="L47" s="14" t="str">
        <f t="shared" si="48"/>
        <v xml:space="preserve"> </v>
      </c>
      <c r="M47" s="128" t="s">
        <v>188</v>
      </c>
      <c r="N47" s="135">
        <f t="shared" si="2"/>
        <v>0</v>
      </c>
      <c r="O47" s="135">
        <f t="shared" si="3"/>
        <v>0</v>
      </c>
      <c r="P47" s="13">
        <f t="shared" si="49"/>
        <v>0</v>
      </c>
      <c r="Q47" s="134" t="str">
        <f t="shared" si="50"/>
        <v/>
      </c>
      <c r="R47" s="134"/>
      <c r="S47" s="134"/>
    </row>
    <row r="48" spans="1:20" ht="14.1" customHeight="1" x14ac:dyDescent="0.25">
      <c r="A48" s="33">
        <v>1</v>
      </c>
      <c r="B48" s="29" t="s">
        <v>193</v>
      </c>
      <c r="C48" s="30" t="s">
        <v>41</v>
      </c>
      <c r="D48" s="40"/>
      <c r="E48" s="21"/>
      <c r="F48" s="21">
        <f t="shared" ref="F48:P48" si="51">SUM(F14:F47)</f>
        <v>1263988</v>
      </c>
      <c r="G48" s="21">
        <f t="shared" si="51"/>
        <v>9360</v>
      </c>
      <c r="H48" s="21">
        <f t="shared" si="51"/>
        <v>1273348</v>
      </c>
      <c r="I48" s="21">
        <f t="shared" si="51"/>
        <v>151655.74679999999</v>
      </c>
      <c r="J48" s="21">
        <f t="shared" si="51"/>
        <v>0</v>
      </c>
      <c r="K48" s="21">
        <f t="shared" si="51"/>
        <v>97411.122000000018</v>
      </c>
      <c r="L48" s="21">
        <f t="shared" si="51"/>
        <v>65232</v>
      </c>
      <c r="M48" s="21">
        <f t="shared" si="51"/>
        <v>0</v>
      </c>
      <c r="N48" s="21">
        <f t="shared" si="51"/>
        <v>5475.3963999999996</v>
      </c>
      <c r="O48" s="21">
        <f t="shared" si="51"/>
        <v>525</v>
      </c>
      <c r="P48" s="21">
        <f t="shared" si="51"/>
        <v>1593647.2652000003</v>
      </c>
      <c r="Q48" s="134" t="str">
        <f t="shared" si="50"/>
        <v>*</v>
      </c>
      <c r="S48" s="134"/>
    </row>
    <row r="49" spans="1:19" ht="14.1" customHeight="1" x14ac:dyDescent="0.25">
      <c r="A49" s="33">
        <v>8</v>
      </c>
      <c r="B49" s="40"/>
      <c r="C49" s="40"/>
      <c r="D49" s="40"/>
      <c r="E49" s="21"/>
      <c r="F49" s="60"/>
      <c r="G49" s="21"/>
      <c r="H49" s="61"/>
      <c r="I49" s="20"/>
      <c r="J49" s="134"/>
      <c r="K49" s="20"/>
      <c r="L49" s="21"/>
      <c r="M49" s="20"/>
      <c r="N49" s="20"/>
      <c r="O49" s="20"/>
      <c r="P49" s="20"/>
      <c r="Q49" s="134" t="str">
        <f>+Q60</f>
        <v>*</v>
      </c>
      <c r="S49" s="134"/>
    </row>
    <row r="50" spans="1:19" ht="14.1" hidden="1" customHeight="1" x14ac:dyDescent="0.25">
      <c r="A50" s="33">
        <v>9</v>
      </c>
      <c r="B50" s="28" t="s">
        <v>194</v>
      </c>
      <c r="C50" s="176"/>
      <c r="D50" s="176"/>
      <c r="E50" s="127"/>
      <c r="F50" s="60"/>
      <c r="G50" s="127"/>
      <c r="H50" s="60"/>
      <c r="I50" s="135" t="str">
        <f t="shared" ref="I50:I59" si="52">IF(J50="Y",H50*$I$5," ")</f>
        <v xml:space="preserve"> </v>
      </c>
      <c r="J50" s="125" t="s">
        <v>188</v>
      </c>
      <c r="K50" s="135">
        <f t="shared" ref="K50:K59" si="53">+$H50*$K$5</f>
        <v>0</v>
      </c>
      <c r="L50" s="14" t="str">
        <f t="shared" ref="L50:L56" si="54">IF(M50="Y",2400," ")</f>
        <v xml:space="preserve"> </v>
      </c>
      <c r="M50" s="128" t="s">
        <v>188</v>
      </c>
      <c r="N50" s="135">
        <f t="shared" ref="N50:N59" si="55">+$H50*$L$5</f>
        <v>0</v>
      </c>
      <c r="O50" s="135">
        <f t="shared" ref="O50:O59" si="56">IF(H50&gt;7000,7000*$N$5,H50*$N$5)</f>
        <v>0</v>
      </c>
      <c r="P50" s="13">
        <f t="shared" ref="P50:P57" si="57">SUM(K50:O50,H50:I50)</f>
        <v>0</v>
      </c>
      <c r="Q50" s="134" t="str">
        <f t="shared" ref="Q50:Q60" si="58">IF(P50&gt;0.49,"*","")</f>
        <v/>
      </c>
      <c r="R50" s="134"/>
      <c r="S50" s="134"/>
    </row>
    <row r="51" spans="1:19" ht="14.1" hidden="1" customHeight="1" x14ac:dyDescent="0.25">
      <c r="A51" s="33">
        <f>A50</f>
        <v>9</v>
      </c>
      <c r="B51" s="28" t="s">
        <v>194</v>
      </c>
      <c r="C51" s="149" t="s">
        <v>13</v>
      </c>
      <c r="D51" s="123"/>
      <c r="E51" s="119"/>
      <c r="F51" s="60"/>
      <c r="G51" s="119"/>
      <c r="H51" s="60"/>
      <c r="I51" s="14">
        <f t="shared" si="52"/>
        <v>0</v>
      </c>
      <c r="J51" s="125" t="s">
        <v>182</v>
      </c>
      <c r="K51" s="14">
        <f t="shared" si="53"/>
        <v>0</v>
      </c>
      <c r="L51" s="14" t="str">
        <f t="shared" si="54"/>
        <v xml:space="preserve"> </v>
      </c>
      <c r="M51" s="128" t="s">
        <v>188</v>
      </c>
      <c r="N51" s="14">
        <f t="shared" si="55"/>
        <v>0</v>
      </c>
      <c r="O51" s="14">
        <f t="shared" si="56"/>
        <v>0</v>
      </c>
      <c r="P51" s="13">
        <f t="shared" si="57"/>
        <v>0</v>
      </c>
      <c r="Q51" s="134" t="str">
        <f t="shared" si="58"/>
        <v/>
      </c>
      <c r="R51" s="134"/>
      <c r="S51" s="134"/>
    </row>
    <row r="52" spans="1:19" ht="14.1" customHeight="1" x14ac:dyDescent="0.25">
      <c r="A52" s="33"/>
      <c r="B52" s="28" t="s">
        <v>194</v>
      </c>
      <c r="C52" s="123" t="s">
        <v>372</v>
      </c>
      <c r="D52" s="123"/>
      <c r="E52" s="119"/>
      <c r="F52" s="60">
        <v>34711.68</v>
      </c>
      <c r="G52" s="127"/>
      <c r="H52" s="60">
        <f>(F52*PRInf)+G52</f>
        <v>35405.9136</v>
      </c>
      <c r="I52" s="135">
        <f t="shared" si="52"/>
        <v>4216.8443097600002</v>
      </c>
      <c r="J52" s="125" t="s">
        <v>182</v>
      </c>
      <c r="K52" s="135">
        <f t="shared" si="53"/>
        <v>2708.5523904000001</v>
      </c>
      <c r="L52" s="14">
        <f>IF(M52="Y",3624," ")</f>
        <v>3624</v>
      </c>
      <c r="M52" s="128" t="s">
        <v>182</v>
      </c>
      <c r="N52" s="135">
        <f t="shared" si="55"/>
        <v>152.24542847999999</v>
      </c>
      <c r="O52" s="135">
        <f t="shared" si="56"/>
        <v>21</v>
      </c>
      <c r="P52" s="13">
        <f t="shared" si="57"/>
        <v>46128.55572864</v>
      </c>
      <c r="Q52" s="134" t="str">
        <f t="shared" si="58"/>
        <v>*</v>
      </c>
      <c r="R52" s="194" t="s">
        <v>183</v>
      </c>
      <c r="S52" s="134"/>
    </row>
    <row r="53" spans="1:19" ht="14.1" customHeight="1" x14ac:dyDescent="0.25">
      <c r="A53" s="33"/>
      <c r="B53" s="28" t="s">
        <v>194</v>
      </c>
      <c r="C53" s="123" t="s">
        <v>377</v>
      </c>
      <c r="D53" s="123"/>
      <c r="E53" s="119"/>
      <c r="F53" s="60">
        <v>42593.52</v>
      </c>
      <c r="G53" s="127"/>
      <c r="H53" s="60">
        <f>(F53*PRInf)+G53</f>
        <v>43445.390399999997</v>
      </c>
      <c r="I53" s="135">
        <f t="shared" ref="I53:I54" si="59">IF(J53="Y",H53*$I$5," ")</f>
        <v>5174.3459966399996</v>
      </c>
      <c r="J53" s="125" t="s">
        <v>182</v>
      </c>
      <c r="K53" s="135">
        <f t="shared" si="53"/>
        <v>3323.5723655999996</v>
      </c>
      <c r="L53" s="14"/>
      <c r="M53" s="128" t="s">
        <v>188</v>
      </c>
      <c r="N53" s="135">
        <f t="shared" si="55"/>
        <v>186.81517871999998</v>
      </c>
      <c r="O53" s="135">
        <f t="shared" ref="O53:O54" si="60">IF(H53&gt;7000,7000*$N$5,H53*$N$5)</f>
        <v>21</v>
      </c>
      <c r="P53" s="13">
        <f t="shared" si="57"/>
        <v>52151.123940959995</v>
      </c>
      <c r="Q53" s="134" t="str">
        <f t="shared" si="58"/>
        <v>*</v>
      </c>
      <c r="R53" s="194" t="s">
        <v>183</v>
      </c>
      <c r="S53" s="134"/>
    </row>
    <row r="54" spans="1:19" ht="14.1" customHeight="1" x14ac:dyDescent="0.25">
      <c r="A54" s="33"/>
      <c r="B54" s="28" t="s">
        <v>194</v>
      </c>
      <c r="C54" s="123" t="s">
        <v>380</v>
      </c>
      <c r="D54" s="123"/>
      <c r="E54" s="119">
        <v>20</v>
      </c>
      <c r="F54" s="60">
        <f>+E54*60*20</f>
        <v>24000</v>
      </c>
      <c r="G54" s="127"/>
      <c r="H54" s="60">
        <f>(F54*PRInf)+G54</f>
        <v>24480</v>
      </c>
      <c r="I54" s="135">
        <f t="shared" si="59"/>
        <v>2915.5679999999998</v>
      </c>
      <c r="J54" s="125" t="s">
        <v>182</v>
      </c>
      <c r="K54" s="135">
        <f t="shared" si="53"/>
        <v>1872.72</v>
      </c>
      <c r="L54" s="14"/>
      <c r="M54" s="128" t="s">
        <v>188</v>
      </c>
      <c r="N54" s="135">
        <f t="shared" si="55"/>
        <v>105.264</v>
      </c>
      <c r="O54" s="135">
        <f t="shared" si="60"/>
        <v>21</v>
      </c>
      <c r="P54" s="13">
        <f t="shared" si="57"/>
        <v>29394.552</v>
      </c>
      <c r="Q54" s="134" t="str">
        <f t="shared" si="58"/>
        <v>*</v>
      </c>
      <c r="R54" s="194" t="s">
        <v>396</v>
      </c>
      <c r="S54" s="134"/>
    </row>
    <row r="55" spans="1:19" ht="14.1" hidden="1" customHeight="1" x14ac:dyDescent="0.25">
      <c r="A55" s="33"/>
      <c r="B55" s="28" t="s">
        <v>194</v>
      </c>
      <c r="C55" s="177"/>
      <c r="D55" s="177"/>
      <c r="E55" s="127"/>
      <c r="F55" s="60"/>
      <c r="G55" s="127"/>
      <c r="H55" s="60"/>
      <c r="I55" s="135" t="str">
        <f t="shared" si="52"/>
        <v xml:space="preserve"> </v>
      </c>
      <c r="J55" s="125" t="s">
        <v>188</v>
      </c>
      <c r="K55" s="135">
        <f t="shared" si="53"/>
        <v>0</v>
      </c>
      <c r="L55" s="14" t="str">
        <f t="shared" si="54"/>
        <v xml:space="preserve"> </v>
      </c>
      <c r="M55" s="128" t="s">
        <v>188</v>
      </c>
      <c r="N55" s="135">
        <f t="shared" si="55"/>
        <v>0</v>
      </c>
      <c r="O55" s="135">
        <f t="shared" si="56"/>
        <v>0</v>
      </c>
      <c r="P55" s="13">
        <f t="shared" si="57"/>
        <v>0</v>
      </c>
      <c r="Q55" s="134" t="str">
        <f t="shared" si="58"/>
        <v/>
      </c>
      <c r="R55" s="134"/>
    </row>
    <row r="56" spans="1:19" ht="14.1" hidden="1" customHeight="1" x14ac:dyDescent="0.25">
      <c r="A56" s="33"/>
      <c r="B56" s="28" t="s">
        <v>194</v>
      </c>
      <c r="C56" s="149" t="s">
        <v>14</v>
      </c>
      <c r="D56" s="177"/>
      <c r="E56" s="127"/>
      <c r="F56" s="60"/>
      <c r="G56" s="127"/>
      <c r="H56" s="60"/>
      <c r="I56" s="135" t="str">
        <f t="shared" si="52"/>
        <v xml:space="preserve"> </v>
      </c>
      <c r="J56" s="125" t="s">
        <v>188</v>
      </c>
      <c r="K56" s="135">
        <f t="shared" si="53"/>
        <v>0</v>
      </c>
      <c r="L56" s="14" t="str">
        <f t="shared" si="54"/>
        <v xml:space="preserve"> </v>
      </c>
      <c r="M56" s="128" t="s">
        <v>188</v>
      </c>
      <c r="N56" s="135">
        <f t="shared" si="55"/>
        <v>0</v>
      </c>
      <c r="O56" s="135">
        <f t="shared" si="56"/>
        <v>0</v>
      </c>
      <c r="P56" s="13">
        <f t="shared" si="57"/>
        <v>0</v>
      </c>
      <c r="Q56" s="134" t="str">
        <f t="shared" si="58"/>
        <v/>
      </c>
      <c r="R56" s="134"/>
    </row>
    <row r="57" spans="1:19" ht="14.1" customHeight="1" x14ac:dyDescent="0.25">
      <c r="A57" s="33"/>
      <c r="B57" s="28" t="s">
        <v>194</v>
      </c>
      <c r="C57" s="254" t="s">
        <v>371</v>
      </c>
      <c r="D57" s="123"/>
      <c r="E57" s="119"/>
      <c r="F57" s="60">
        <v>37500</v>
      </c>
      <c r="G57" s="127"/>
      <c r="H57" s="60">
        <f t="shared" ref="H57:H59" si="61">(F57)+G57</f>
        <v>37500</v>
      </c>
      <c r="I57" s="135">
        <f t="shared" si="52"/>
        <v>4466.25</v>
      </c>
      <c r="J57" s="125" t="s">
        <v>182</v>
      </c>
      <c r="K57" s="135">
        <f t="shared" si="53"/>
        <v>2868.75</v>
      </c>
      <c r="L57" s="14">
        <f>IF(M57="Y",3624," ")</f>
        <v>3624</v>
      </c>
      <c r="M57" s="128" t="s">
        <v>182</v>
      </c>
      <c r="N57" s="135">
        <f t="shared" si="55"/>
        <v>161.25</v>
      </c>
      <c r="O57" s="135">
        <f t="shared" si="56"/>
        <v>21</v>
      </c>
      <c r="P57" s="13">
        <f t="shared" si="57"/>
        <v>48641.25</v>
      </c>
      <c r="Q57" s="134" t="str">
        <f t="shared" si="58"/>
        <v>*</v>
      </c>
      <c r="R57" s="194" t="s">
        <v>183</v>
      </c>
    </row>
    <row r="58" spans="1:19" s="134" customFormat="1" ht="14.1" customHeight="1" x14ac:dyDescent="0.25">
      <c r="A58" s="32">
        <f>+A87</f>
        <v>1</v>
      </c>
      <c r="B58" s="28" t="s">
        <v>202</v>
      </c>
      <c r="C58" s="123" t="s">
        <v>389</v>
      </c>
      <c r="D58" s="123"/>
      <c r="E58" s="123">
        <v>20</v>
      </c>
      <c r="F58" s="60">
        <f>+E58*65*20</f>
        <v>26000</v>
      </c>
      <c r="G58" s="127"/>
      <c r="H58" s="60">
        <f>(F58)+G58</f>
        <v>26000</v>
      </c>
      <c r="I58" s="135">
        <f>IF(J58="Y",H58*$I$5," ")</f>
        <v>3096.6</v>
      </c>
      <c r="J58" s="125" t="s">
        <v>182</v>
      </c>
      <c r="K58" s="135">
        <f>+$H58*$K$5</f>
        <v>1989</v>
      </c>
      <c r="L58" s="14">
        <f>IF(M58="Y",3624," ")</f>
        <v>3624</v>
      </c>
      <c r="M58" s="135" t="s">
        <v>182</v>
      </c>
      <c r="N58" s="135">
        <f>+$H58*$L$5</f>
        <v>111.8</v>
      </c>
      <c r="O58" s="135">
        <f>IF(H58&gt;7000,7000*$N$5,H58*$N$5)</f>
        <v>21</v>
      </c>
      <c r="P58" s="13">
        <f>SUM(K58:O58,H58:I58)</f>
        <v>34842.400000000001</v>
      </c>
      <c r="Q58" s="134" t="str">
        <f>IF(P58&gt;0.49,"*","")</f>
        <v>*</v>
      </c>
      <c r="R58" s="194" t="s">
        <v>401</v>
      </c>
    </row>
    <row r="59" spans="1:19" ht="14.1" hidden="1" customHeight="1" x14ac:dyDescent="0.25">
      <c r="A59" s="33">
        <v>1</v>
      </c>
      <c r="B59" s="28" t="s">
        <v>194</v>
      </c>
      <c r="C59" s="123"/>
      <c r="D59" s="123"/>
      <c r="E59" s="96"/>
      <c r="F59" s="60"/>
      <c r="G59" s="127"/>
      <c r="H59" s="60">
        <f t="shared" si="61"/>
        <v>0</v>
      </c>
      <c r="I59" s="135">
        <f t="shared" si="52"/>
        <v>0</v>
      </c>
      <c r="J59" s="125" t="s">
        <v>182</v>
      </c>
      <c r="K59" s="135">
        <f t="shared" si="53"/>
        <v>0</v>
      </c>
      <c r="L59" s="14" t="str">
        <f>IF(M59="Y",3624," ")</f>
        <v xml:space="preserve"> </v>
      </c>
      <c r="M59" s="128" t="s">
        <v>188</v>
      </c>
      <c r="N59" s="135">
        <f t="shared" si="55"/>
        <v>0</v>
      </c>
      <c r="O59" s="135">
        <f t="shared" si="56"/>
        <v>0</v>
      </c>
      <c r="P59" s="13">
        <f t="shared" ref="P59" si="62">SUM(H59:I59,K59:L59,N59:O59)</f>
        <v>0</v>
      </c>
      <c r="Q59" s="134" t="str">
        <f t="shared" si="58"/>
        <v/>
      </c>
    </row>
    <row r="60" spans="1:19" ht="14.1" customHeight="1" x14ac:dyDescent="0.25">
      <c r="A60" s="33">
        <f>+A59</f>
        <v>1</v>
      </c>
      <c r="B60" s="41" t="s">
        <v>195</v>
      </c>
      <c r="C60" s="30" t="s">
        <v>43</v>
      </c>
      <c r="D60" s="40"/>
      <c r="E60" s="21"/>
      <c r="F60" s="21">
        <f>SUM(F50:F59)</f>
        <v>164805.20000000001</v>
      </c>
      <c r="G60" s="21">
        <f t="shared" ref="G60" si="63">SUM(G50:G59)</f>
        <v>0</v>
      </c>
      <c r="H60" s="61">
        <f>SUM(H50:H59)</f>
        <v>166831.304</v>
      </c>
      <c r="I60" s="20">
        <f>SUM(I50:I59)</f>
        <v>19869.608306399998</v>
      </c>
      <c r="J60" s="20"/>
      <c r="K60" s="20">
        <f>SUM(K50:K59)</f>
        <v>12762.594755999999</v>
      </c>
      <c r="L60" s="21">
        <f>SUM(L50:L59)</f>
        <v>10872</v>
      </c>
      <c r="M60" s="20"/>
      <c r="N60" s="20">
        <f>SUM(N50:N59)</f>
        <v>717.3746071999999</v>
      </c>
      <c r="O60" s="20">
        <f>SUM(O50:O59)</f>
        <v>105</v>
      </c>
      <c r="P60" s="20">
        <f>SUM(P50:P59)</f>
        <v>211157.8816696</v>
      </c>
      <c r="Q60" s="134" t="str">
        <f t="shared" si="58"/>
        <v>*</v>
      </c>
      <c r="R60" s="134"/>
    </row>
    <row r="61" spans="1:19" ht="14.1" customHeight="1" x14ac:dyDescent="0.25">
      <c r="A61" s="35"/>
      <c r="B61" s="44"/>
      <c r="E61" s="14"/>
      <c r="F61" s="60"/>
      <c r="G61" s="14"/>
      <c r="H61" s="62"/>
      <c r="I61" s="13"/>
      <c r="J61" s="134"/>
      <c r="K61" s="134"/>
      <c r="M61" s="134"/>
      <c r="N61" s="134"/>
      <c r="O61" s="134"/>
      <c r="P61" s="134"/>
      <c r="Q61" s="134" t="str">
        <f>+Q74</f>
        <v>*</v>
      </c>
      <c r="R61" s="134"/>
    </row>
    <row r="62" spans="1:19" ht="14.1" customHeight="1" x14ac:dyDescent="0.25">
      <c r="A62" s="35">
        <v>1</v>
      </c>
      <c r="B62" s="28" t="s">
        <v>196</v>
      </c>
      <c r="C62" s="149" t="s">
        <v>13</v>
      </c>
      <c r="D62" s="149"/>
      <c r="E62" s="96"/>
      <c r="F62" s="60"/>
      <c r="G62" s="127"/>
      <c r="H62" s="60"/>
      <c r="I62" s="135"/>
      <c r="J62" s="125" t="s">
        <v>182</v>
      </c>
      <c r="K62" s="135"/>
      <c r="L62" s="14"/>
      <c r="M62" s="135"/>
      <c r="N62" s="135"/>
      <c r="O62" s="135"/>
      <c r="P62" s="13"/>
      <c r="Q62" s="134" t="s">
        <v>2</v>
      </c>
    </row>
    <row r="63" spans="1:19" s="134" customFormat="1" ht="14.1" customHeight="1" x14ac:dyDescent="0.25">
      <c r="A63" s="35" t="e">
        <f>+#REF!</f>
        <v>#REF!</v>
      </c>
      <c r="B63" s="28" t="s">
        <v>196</v>
      </c>
      <c r="C63" s="123" t="s">
        <v>325</v>
      </c>
      <c r="D63" s="123"/>
      <c r="E63" s="96">
        <f>16*PRInf</f>
        <v>16.32</v>
      </c>
      <c r="F63" s="60">
        <f>+E63*30*20</f>
        <v>9792</v>
      </c>
      <c r="G63" s="127"/>
      <c r="H63" s="60">
        <f>(F63)+G63</f>
        <v>9792</v>
      </c>
      <c r="I63" s="135">
        <f t="shared" ref="I63" si="64">IF(J63="Y",H63*$I$5," ")</f>
        <v>1166.2272</v>
      </c>
      <c r="J63" s="125" t="s">
        <v>182</v>
      </c>
      <c r="K63" s="135">
        <f>+$H63*$K$5</f>
        <v>749.08799999999997</v>
      </c>
      <c r="L63" s="14" t="str">
        <f t="shared" ref="L63:L69" si="65">IF(M63="Y",3624," ")</f>
        <v xml:space="preserve"> </v>
      </c>
      <c r="M63" s="128" t="s">
        <v>188</v>
      </c>
      <c r="N63" s="135">
        <f>+$H63*$L$5</f>
        <v>42.105600000000003</v>
      </c>
      <c r="O63" s="135">
        <f t="shared" ref="O63" si="66">IF(H63&gt;7000,7000*$N$5,H63*$N$5)</f>
        <v>21</v>
      </c>
      <c r="P63" s="13">
        <f>SUM(K63:O63,H63:I63)</f>
        <v>11770.4208</v>
      </c>
      <c r="Q63" s="134" t="str">
        <f t="shared" ref="Q63" si="67">IF(P63&gt;0.49,"*","")</f>
        <v>*</v>
      </c>
      <c r="R63" s="194" t="s">
        <v>392</v>
      </c>
    </row>
    <row r="64" spans="1:19" s="134" customFormat="1" ht="14.1" customHeight="1" x14ac:dyDescent="0.25">
      <c r="A64" s="35" t="e">
        <f>+#REF!</f>
        <v>#REF!</v>
      </c>
      <c r="B64" s="28" t="s">
        <v>196</v>
      </c>
      <c r="C64" s="123" t="s">
        <v>323</v>
      </c>
      <c r="D64" s="123"/>
      <c r="E64" s="119">
        <v>16</v>
      </c>
      <c r="F64" s="60">
        <f>+E64*30*20*PRInf</f>
        <v>9792</v>
      </c>
      <c r="G64" s="127"/>
      <c r="H64" s="60">
        <f t="shared" ref="H64:H69" si="68">(F64)+G64</f>
        <v>9792</v>
      </c>
      <c r="I64" s="135">
        <f t="shared" ref="I64:I65" si="69">IF(J64="Y",H64*$I$5," ")</f>
        <v>1166.2272</v>
      </c>
      <c r="J64" s="125" t="s">
        <v>182</v>
      </c>
      <c r="K64" s="135">
        <f t="shared" ref="K64:K72" si="70">+$H64*$K$5</f>
        <v>749.08799999999997</v>
      </c>
      <c r="L64" s="14" t="str">
        <f t="shared" si="65"/>
        <v xml:space="preserve"> </v>
      </c>
      <c r="M64" s="128" t="s">
        <v>188</v>
      </c>
      <c r="N64" s="135">
        <f>+$H64*$L$5</f>
        <v>42.105600000000003</v>
      </c>
      <c r="O64" s="135">
        <f t="shared" ref="O64:O65" si="71">IF(H64&gt;7000,7000*$N$5,H64*$N$5)</f>
        <v>21</v>
      </c>
      <c r="P64" s="13">
        <f t="shared" ref="P64:P73" si="72">SUM(K64:O64,H64:I64)</f>
        <v>11770.4208</v>
      </c>
      <c r="Q64" s="134" t="str">
        <f t="shared" ref="Q64" si="73">IF(P64&gt;0.49,"*","")</f>
        <v>*</v>
      </c>
      <c r="R64" s="194" t="s">
        <v>392</v>
      </c>
      <c r="S64" s="134" t="s">
        <v>185</v>
      </c>
    </row>
    <row r="65" spans="1:19" ht="14.1" customHeight="1" x14ac:dyDescent="0.25">
      <c r="A65" s="35" t="e">
        <f>+#REF!</f>
        <v>#REF!</v>
      </c>
      <c r="B65" s="28" t="s">
        <v>196</v>
      </c>
      <c r="C65" s="249" t="s">
        <v>197</v>
      </c>
      <c r="D65" s="249" t="s">
        <v>141</v>
      </c>
      <c r="E65" s="119">
        <v>16</v>
      </c>
      <c r="F65" s="60">
        <f>+E65*20*(6.2*179)/20-6.8</f>
        <v>17750</v>
      </c>
      <c r="G65" s="127"/>
      <c r="H65" s="60">
        <f t="shared" si="68"/>
        <v>17750</v>
      </c>
      <c r="I65" s="135">
        <f t="shared" si="69"/>
        <v>2114.0250000000001</v>
      </c>
      <c r="J65" s="125" t="s">
        <v>182</v>
      </c>
      <c r="K65" s="135">
        <f t="shared" si="70"/>
        <v>1357.875</v>
      </c>
      <c r="L65" s="14" t="str">
        <f t="shared" si="65"/>
        <v xml:space="preserve"> </v>
      </c>
      <c r="M65" s="128" t="s">
        <v>188</v>
      </c>
      <c r="N65" s="135">
        <f t="shared" ref="N65:N72" si="74">+$H65*$L$5</f>
        <v>76.325000000000003</v>
      </c>
      <c r="O65" s="135">
        <f t="shared" si="71"/>
        <v>21</v>
      </c>
      <c r="P65" s="13">
        <f t="shared" si="72"/>
        <v>21319.225000000002</v>
      </c>
      <c r="Q65" s="134" t="str">
        <f t="shared" ref="Q65:Q74" si="75">IF(P65&gt;0.49,"*","")</f>
        <v>*</v>
      </c>
      <c r="R65" s="194" t="s">
        <v>431</v>
      </c>
      <c r="S65" s="134" t="s">
        <v>185</v>
      </c>
    </row>
    <row r="66" spans="1:19" s="134" customFormat="1" ht="14.1" customHeight="1" x14ac:dyDescent="0.25">
      <c r="A66" s="35" t="e">
        <f>+#REF!</f>
        <v>#REF!</v>
      </c>
      <c r="B66" s="28" t="s">
        <v>196</v>
      </c>
      <c r="C66" s="123" t="s">
        <v>324</v>
      </c>
      <c r="D66" s="123"/>
      <c r="E66" s="119">
        <v>16</v>
      </c>
      <c r="F66" s="60">
        <f>+E66*20*20</f>
        <v>6400</v>
      </c>
      <c r="G66" s="127"/>
      <c r="H66" s="60">
        <f t="shared" si="68"/>
        <v>6400</v>
      </c>
      <c r="I66" s="135">
        <f t="shared" ref="I66:I67" si="76">IF(J66="Y",H66*$I$5," ")</f>
        <v>762.24</v>
      </c>
      <c r="J66" s="125" t="s">
        <v>182</v>
      </c>
      <c r="K66" s="135">
        <f t="shared" si="70"/>
        <v>489.59999999999997</v>
      </c>
      <c r="L66" s="14" t="str">
        <f t="shared" si="65"/>
        <v xml:space="preserve"> </v>
      </c>
      <c r="M66" s="128" t="s">
        <v>188</v>
      </c>
      <c r="N66" s="135">
        <f t="shared" si="74"/>
        <v>27.52</v>
      </c>
      <c r="O66" s="135">
        <f t="shared" ref="O66:O67" si="77">IF(H66&gt;7000,7000*$N$5,H66*$N$5)</f>
        <v>19.2</v>
      </c>
      <c r="P66" s="13">
        <f t="shared" si="72"/>
        <v>7698.5599999999995</v>
      </c>
      <c r="Q66" s="134" t="str">
        <f t="shared" ref="Q66:Q67" si="78">IF(P66&gt;0.49,"*","")</f>
        <v>*</v>
      </c>
      <c r="R66" s="194" t="s">
        <v>391</v>
      </c>
      <c r="S66" s="134" t="s">
        <v>185</v>
      </c>
    </row>
    <row r="67" spans="1:19" s="134" customFormat="1" ht="14.1" customHeight="1" x14ac:dyDescent="0.25">
      <c r="A67" s="33"/>
      <c r="B67" s="28" t="s">
        <v>196</v>
      </c>
      <c r="C67" s="249" t="s">
        <v>428</v>
      </c>
      <c r="D67" s="249" t="s">
        <v>141</v>
      </c>
      <c r="E67" s="119">
        <v>16</v>
      </c>
      <c r="F67" s="60">
        <f>+E67*20*(5.75*179)/20</f>
        <v>16468</v>
      </c>
      <c r="G67" s="127"/>
      <c r="H67" s="60">
        <f t="shared" ref="H67" si="79">(F67)+G67</f>
        <v>16468</v>
      </c>
      <c r="I67" s="135">
        <f t="shared" si="76"/>
        <v>1961.3388</v>
      </c>
      <c r="J67" s="125" t="s">
        <v>182</v>
      </c>
      <c r="K67" s="135">
        <f t="shared" si="70"/>
        <v>1259.8019999999999</v>
      </c>
      <c r="L67" s="14" t="str">
        <f t="shared" si="65"/>
        <v xml:space="preserve"> </v>
      </c>
      <c r="M67" s="128" t="s">
        <v>188</v>
      </c>
      <c r="N67" s="135">
        <f t="shared" si="74"/>
        <v>70.812399999999997</v>
      </c>
      <c r="O67" s="135">
        <f t="shared" si="77"/>
        <v>21</v>
      </c>
      <c r="P67" s="13">
        <f t="shared" ref="P67" si="80">SUM(K67:O67,H67:I67)</f>
        <v>19780.9532</v>
      </c>
      <c r="Q67" s="134" t="str">
        <f t="shared" si="78"/>
        <v>*</v>
      </c>
      <c r="R67" s="194" t="s">
        <v>430</v>
      </c>
      <c r="S67" s="134" t="s">
        <v>185</v>
      </c>
    </row>
    <row r="68" spans="1:19" s="134" customFormat="1" ht="14.1" customHeight="1" x14ac:dyDescent="0.25">
      <c r="A68" s="33"/>
      <c r="B68" s="28" t="s">
        <v>196</v>
      </c>
      <c r="C68" s="249" t="s">
        <v>428</v>
      </c>
      <c r="D68" s="249" t="s">
        <v>141</v>
      </c>
      <c r="E68" s="119">
        <v>16</v>
      </c>
      <c r="F68" s="60">
        <f>+E68*20*(5.75*179)/20</f>
        <v>16468</v>
      </c>
      <c r="G68" s="127"/>
      <c r="H68" s="60">
        <f t="shared" si="68"/>
        <v>16468</v>
      </c>
      <c r="I68" s="135">
        <f t="shared" ref="I68" si="81">IF(J68="Y",H68*$I$5," ")</f>
        <v>1961.3388</v>
      </c>
      <c r="J68" s="125" t="s">
        <v>182</v>
      </c>
      <c r="K68" s="135">
        <f t="shared" si="70"/>
        <v>1259.8019999999999</v>
      </c>
      <c r="L68" s="14" t="str">
        <f t="shared" si="65"/>
        <v xml:space="preserve"> </v>
      </c>
      <c r="M68" s="128" t="s">
        <v>188</v>
      </c>
      <c r="N68" s="135">
        <f t="shared" si="74"/>
        <v>70.812399999999997</v>
      </c>
      <c r="O68" s="135">
        <f t="shared" ref="O68" si="82">IF(H68&gt;7000,7000*$N$5,H68*$N$5)</f>
        <v>21</v>
      </c>
      <c r="P68" s="13">
        <f t="shared" si="72"/>
        <v>19780.9532</v>
      </c>
      <c r="Q68" s="134" t="str">
        <f t="shared" si="75"/>
        <v>*</v>
      </c>
      <c r="R68" s="194" t="s">
        <v>430</v>
      </c>
      <c r="S68" s="134" t="s">
        <v>185</v>
      </c>
    </row>
    <row r="69" spans="1:19" s="134" customFormat="1" ht="14.1" customHeight="1" x14ac:dyDescent="0.25">
      <c r="A69" s="33"/>
      <c r="B69" s="28" t="s">
        <v>196</v>
      </c>
      <c r="C69" s="249" t="s">
        <v>399</v>
      </c>
      <c r="D69" s="249" t="s">
        <v>141</v>
      </c>
      <c r="E69" s="119">
        <v>16</v>
      </c>
      <c r="F69" s="60">
        <f>+E69*20*(5.75*179)/20</f>
        <v>16468</v>
      </c>
      <c r="G69" s="127"/>
      <c r="H69" s="60">
        <f t="shared" si="68"/>
        <v>16468</v>
      </c>
      <c r="I69" s="135">
        <f t="shared" ref="I69" si="83">IF(J69="Y",H69*$I$5," ")</f>
        <v>1961.3388</v>
      </c>
      <c r="J69" s="125" t="s">
        <v>182</v>
      </c>
      <c r="K69" s="135">
        <f t="shared" si="70"/>
        <v>1259.8019999999999</v>
      </c>
      <c r="L69" s="14" t="str">
        <f t="shared" si="65"/>
        <v xml:space="preserve"> </v>
      </c>
      <c r="M69" s="128" t="s">
        <v>188</v>
      </c>
      <c r="N69" s="135">
        <f t="shared" si="74"/>
        <v>70.812399999999997</v>
      </c>
      <c r="O69" s="135">
        <f t="shared" ref="O69" si="84">IF(H69&gt;7000,7000*$N$5,H69*$N$5)</f>
        <v>21</v>
      </c>
      <c r="P69" s="13">
        <f t="shared" si="72"/>
        <v>19780.9532</v>
      </c>
      <c r="Q69" s="134" t="str">
        <f t="shared" ref="Q69" si="85">IF(P69&gt;0.49,"*","")</f>
        <v>*</v>
      </c>
      <c r="R69" s="194" t="s">
        <v>430</v>
      </c>
      <c r="S69" s="134" t="s">
        <v>185</v>
      </c>
    </row>
    <row r="70" spans="1:19" ht="14.1" customHeight="1" x14ac:dyDescent="0.25">
      <c r="A70" s="33"/>
      <c r="B70" s="28" t="s">
        <v>196</v>
      </c>
      <c r="C70" s="149" t="s">
        <v>14</v>
      </c>
      <c r="D70" s="149"/>
      <c r="E70" s="127"/>
      <c r="F70" s="60"/>
      <c r="G70" s="127"/>
      <c r="H70" s="60"/>
      <c r="I70" s="135"/>
      <c r="J70" s="125" t="s">
        <v>182</v>
      </c>
      <c r="K70" s="135"/>
      <c r="L70" s="14"/>
      <c r="M70" s="128" t="s">
        <v>188</v>
      </c>
      <c r="N70" s="135"/>
      <c r="O70" s="135"/>
      <c r="P70" s="13">
        <f t="shared" si="72"/>
        <v>0</v>
      </c>
      <c r="Q70" s="134" t="s">
        <v>2</v>
      </c>
      <c r="R70" s="194"/>
    </row>
    <row r="71" spans="1:19" s="134" customFormat="1" ht="14.1" customHeight="1" x14ac:dyDescent="0.25">
      <c r="A71" s="33">
        <v>7</v>
      </c>
      <c r="B71" s="28" t="s">
        <v>196</v>
      </c>
      <c r="C71" s="123" t="s">
        <v>325</v>
      </c>
      <c r="D71" s="248" t="s">
        <v>348</v>
      </c>
      <c r="E71" s="96">
        <f>16*PRInf</f>
        <v>16.32</v>
      </c>
      <c r="F71" s="60">
        <f>+E71*20*20</f>
        <v>6528</v>
      </c>
      <c r="G71" s="127"/>
      <c r="H71" s="60">
        <f>(F71*PRInf)+G71</f>
        <v>6658.56</v>
      </c>
      <c r="I71" s="135">
        <f t="shared" ref="I71" si="86">IF(J71="Y",H71*$I$5," ")</f>
        <v>793.03449599999999</v>
      </c>
      <c r="J71" s="125" t="s">
        <v>182</v>
      </c>
      <c r="K71" s="135">
        <f t="shared" si="70"/>
        <v>509.37984</v>
      </c>
      <c r="L71" s="14" t="str">
        <f>IF(M71="Y",3624," ")</f>
        <v xml:space="preserve"> </v>
      </c>
      <c r="M71" s="128" t="s">
        <v>188</v>
      </c>
      <c r="N71" s="135">
        <f t="shared" si="74"/>
        <v>28.631808000000003</v>
      </c>
      <c r="O71" s="135">
        <f t="shared" ref="O71" si="87">IF(H71&gt;7000,7000*$N$5,H71*$N$5)</f>
        <v>19.975680000000001</v>
      </c>
      <c r="P71" s="13">
        <f t="shared" si="72"/>
        <v>8009.5818240000008</v>
      </c>
      <c r="Q71" s="134" t="str">
        <f t="shared" ref="Q71" si="88">IF(P71&gt;0.49,"*","")</f>
        <v>*</v>
      </c>
      <c r="R71" s="194" t="s">
        <v>391</v>
      </c>
    </row>
    <row r="72" spans="1:19" ht="14.1" customHeight="1" x14ac:dyDescent="0.25">
      <c r="A72" s="33"/>
      <c r="B72" s="28" t="s">
        <v>196</v>
      </c>
      <c r="C72" s="249" t="s">
        <v>428</v>
      </c>
      <c r="D72" s="249" t="s">
        <v>141</v>
      </c>
      <c r="E72" s="119">
        <v>16</v>
      </c>
      <c r="F72" s="60">
        <f>+E72*20*(2.7932*179)/20</f>
        <v>7999.724799999999</v>
      </c>
      <c r="G72" s="127"/>
      <c r="H72" s="60">
        <f>(F72*PRInf)+G72</f>
        <v>8159.7192959999993</v>
      </c>
      <c r="I72" s="135">
        <f t="shared" ref="I72" si="89">IF(J72="Y",H72*$I$5," ")</f>
        <v>971.82256815359995</v>
      </c>
      <c r="J72" s="125" t="s">
        <v>182</v>
      </c>
      <c r="K72" s="135">
        <f t="shared" si="70"/>
        <v>624.21852614399995</v>
      </c>
      <c r="L72" s="14" t="str">
        <f t="shared" ref="L72" si="90">IF(M72="Y",3624," ")</f>
        <v xml:space="preserve"> </v>
      </c>
      <c r="M72" s="128" t="s">
        <v>188</v>
      </c>
      <c r="N72" s="135">
        <f t="shared" si="74"/>
        <v>35.086792972799998</v>
      </c>
      <c r="O72" s="135">
        <f t="shared" ref="O72" si="91">IF(H72&gt;7000,7000*$N$5,H72*$N$5)</f>
        <v>21</v>
      </c>
      <c r="P72" s="13">
        <f t="shared" ref="P72" si="92">SUM(K72:O72,H72:I72)</f>
        <v>9811.8471832703999</v>
      </c>
      <c r="Q72" s="134" t="str">
        <f t="shared" si="75"/>
        <v>*</v>
      </c>
      <c r="R72" s="194" t="s">
        <v>432</v>
      </c>
    </row>
    <row r="73" spans="1:19" ht="14.1" hidden="1" customHeight="1" x14ac:dyDescent="0.25">
      <c r="A73" s="33">
        <v>1</v>
      </c>
      <c r="B73" s="28" t="s">
        <v>196</v>
      </c>
      <c r="C73" s="123"/>
      <c r="D73" s="123"/>
      <c r="E73" s="127"/>
      <c r="F73" s="60"/>
      <c r="G73" s="127"/>
      <c r="H73" s="60"/>
      <c r="I73" s="135"/>
      <c r="J73" s="125"/>
      <c r="K73" s="135"/>
      <c r="L73" s="14"/>
      <c r="M73" s="135"/>
      <c r="N73" s="135"/>
      <c r="O73" s="135"/>
      <c r="P73" s="13">
        <f t="shared" si="72"/>
        <v>0</v>
      </c>
      <c r="Q73" s="134" t="str">
        <f t="shared" si="75"/>
        <v/>
      </c>
      <c r="R73" s="134"/>
    </row>
    <row r="74" spans="1:19" ht="14.1" customHeight="1" x14ac:dyDescent="0.25">
      <c r="A74" s="33">
        <v>4</v>
      </c>
      <c r="B74" s="29" t="s">
        <v>198</v>
      </c>
      <c r="C74" s="124" t="s">
        <v>44</v>
      </c>
      <c r="D74" s="182"/>
      <c r="E74" s="21"/>
      <c r="F74" s="21">
        <f>SUM(F62:F73)</f>
        <v>107665.7248</v>
      </c>
      <c r="G74" s="21">
        <f>SUM(G62:G73)</f>
        <v>0</v>
      </c>
      <c r="H74" s="21">
        <f>SUM(H62:H73)</f>
        <v>107956.27929599999</v>
      </c>
      <c r="I74" s="21">
        <f>SUM(I62:I73)</f>
        <v>12857.592864153599</v>
      </c>
      <c r="J74" s="21"/>
      <c r="K74" s="21">
        <f>SUM(K62:K73)</f>
        <v>8258.6553661439975</v>
      </c>
      <c r="L74" s="21">
        <f>SUM(L62:L73)</f>
        <v>0</v>
      </c>
      <c r="M74" s="21"/>
      <c r="N74" s="21">
        <f>SUM(N62:N73)</f>
        <v>464.21200097280007</v>
      </c>
      <c r="O74" s="21">
        <f>SUM(O62:O73)</f>
        <v>186.17568</v>
      </c>
      <c r="P74" s="21">
        <f>SUM(P62:P73)</f>
        <v>129722.9152072704</v>
      </c>
      <c r="Q74" s="134" t="str">
        <f t="shared" si="75"/>
        <v>*</v>
      </c>
    </row>
    <row r="75" spans="1:19" ht="14.1" customHeight="1" x14ac:dyDescent="0.25">
      <c r="A75" s="35">
        <f>+A74</f>
        <v>4</v>
      </c>
      <c r="B75" s="43"/>
      <c r="E75" s="14"/>
      <c r="F75" s="60"/>
      <c r="G75" s="14"/>
      <c r="H75" s="62"/>
      <c r="I75" s="13"/>
      <c r="J75" s="134"/>
      <c r="K75" s="134"/>
      <c r="M75" s="134"/>
      <c r="N75" s="134"/>
      <c r="O75" s="134"/>
      <c r="P75" s="134"/>
      <c r="Q75" s="134" t="str">
        <f>+Q82</f>
        <v>*</v>
      </c>
    </row>
    <row r="76" spans="1:19" ht="14.1" customHeight="1" x14ac:dyDescent="0.25">
      <c r="A76" s="31">
        <v>1</v>
      </c>
      <c r="B76" s="28" t="s">
        <v>199</v>
      </c>
      <c r="C76" s="150" t="s">
        <v>13</v>
      </c>
      <c r="D76" s="150"/>
      <c r="E76" s="127"/>
      <c r="F76" s="60"/>
      <c r="G76" s="127"/>
      <c r="H76" s="60"/>
      <c r="I76" s="135"/>
      <c r="J76" s="125" t="s">
        <v>182</v>
      </c>
      <c r="K76" s="135"/>
      <c r="L76" s="14"/>
      <c r="M76" s="135" t="s">
        <v>188</v>
      </c>
      <c r="N76" s="135"/>
      <c r="O76" s="135"/>
      <c r="P76" s="13"/>
      <c r="Q76" s="134" t="s">
        <v>2</v>
      </c>
    </row>
    <row r="77" spans="1:19" ht="14.1" customHeight="1" x14ac:dyDescent="0.25">
      <c r="A77" s="31"/>
      <c r="B77" s="28" t="s">
        <v>199</v>
      </c>
      <c r="C77" s="123" t="s">
        <v>381</v>
      </c>
      <c r="E77" s="96"/>
      <c r="F77" s="60">
        <v>44540</v>
      </c>
      <c r="G77" s="60"/>
      <c r="H77" s="60">
        <f t="shared" ref="H77" si="93">(F77)+G77</f>
        <v>44540</v>
      </c>
      <c r="I77" s="135">
        <f t="shared" ref="I77:I78" si="94">IF(J77="Y",H77*$I$5," ")</f>
        <v>5304.7139999999999</v>
      </c>
      <c r="J77" s="125" t="s">
        <v>182</v>
      </c>
      <c r="K77" s="135">
        <f t="shared" ref="K77:K81" si="95">+$H77*$K$5</f>
        <v>3407.31</v>
      </c>
      <c r="L77" s="14" t="str">
        <f>IF(M77="Y",3624," ")</f>
        <v xml:space="preserve"> </v>
      </c>
      <c r="M77" s="135" t="s">
        <v>232</v>
      </c>
      <c r="N77" s="135">
        <f t="shared" ref="N77:N81" si="96">+$H77*$L$5</f>
        <v>191.52199999999999</v>
      </c>
      <c r="O77" s="135">
        <f t="shared" ref="O77" si="97">IF(H77&gt;7000,7000*$N$5,H77*$N$5)</f>
        <v>21</v>
      </c>
      <c r="P77" s="13">
        <f t="shared" ref="P77:P81" si="98">SUM(K77:O77,H77:I77)</f>
        <v>53464.546000000002</v>
      </c>
      <c r="Q77" s="134" t="str">
        <f t="shared" ref="Q77" si="99">IF(P77&gt;0.49,"*","")</f>
        <v>*</v>
      </c>
      <c r="R77" s="193" t="s">
        <v>183</v>
      </c>
      <c r="S77" s="134" t="s">
        <v>185</v>
      </c>
    </row>
    <row r="78" spans="1:19" ht="14.1" hidden="1" customHeight="1" x14ac:dyDescent="0.25">
      <c r="A78" s="31">
        <v>1</v>
      </c>
      <c r="B78" s="28" t="s">
        <v>199</v>
      </c>
      <c r="C78" s="126"/>
      <c r="D78" s="126"/>
      <c r="E78" s="98"/>
      <c r="F78" s="60"/>
      <c r="G78" s="98"/>
      <c r="H78" s="134"/>
      <c r="I78" s="135">
        <f t="shared" si="94"/>
        <v>0</v>
      </c>
      <c r="J78" s="125" t="s">
        <v>182</v>
      </c>
      <c r="K78" s="135">
        <f>+$E78*$K$5</f>
        <v>0</v>
      </c>
      <c r="L78" s="14" t="str">
        <f>IF(M78="Y",2400," ")</f>
        <v xml:space="preserve"> </v>
      </c>
      <c r="M78" s="135" t="s">
        <v>188</v>
      </c>
      <c r="N78" s="135">
        <f>+$E78*$L$5</f>
        <v>0</v>
      </c>
      <c r="O78" s="135">
        <f>IF(E78&gt;7000,7000*$N$5,E78*$N$5)</f>
        <v>0</v>
      </c>
      <c r="P78" s="13">
        <f t="shared" si="98"/>
        <v>0</v>
      </c>
      <c r="Q78" s="134" t="str">
        <f t="shared" ref="Q78:Q82" si="100">IF(P78&gt;0.49,"*","")</f>
        <v/>
      </c>
      <c r="R78" s="134"/>
    </row>
    <row r="79" spans="1:19" ht="14.1" customHeight="1" x14ac:dyDescent="0.25">
      <c r="A79" s="31">
        <v>1</v>
      </c>
      <c r="B79" s="28" t="s">
        <v>199</v>
      </c>
      <c r="C79" s="149" t="s">
        <v>14</v>
      </c>
      <c r="D79" s="149"/>
      <c r="E79" s="98"/>
      <c r="F79" s="60"/>
      <c r="G79" s="265"/>
      <c r="H79" s="134"/>
      <c r="I79" s="135"/>
      <c r="J79" s="125" t="s">
        <v>182</v>
      </c>
      <c r="K79" s="135"/>
      <c r="L79" s="14"/>
      <c r="M79" s="135"/>
      <c r="N79" s="135"/>
      <c r="O79" s="135"/>
      <c r="P79" s="13">
        <f t="shared" si="98"/>
        <v>0</v>
      </c>
      <c r="Q79" s="134" t="s">
        <v>2</v>
      </c>
    </row>
    <row r="80" spans="1:19" ht="14.1" customHeight="1" x14ac:dyDescent="0.25">
      <c r="A80" s="31">
        <v>1</v>
      </c>
      <c r="B80" s="28" t="s">
        <v>199</v>
      </c>
      <c r="C80" s="123" t="s">
        <v>327</v>
      </c>
      <c r="D80" s="123"/>
      <c r="E80" s="96"/>
      <c r="F80" s="60">
        <v>46000</v>
      </c>
      <c r="G80" s="60">
        <v>3000</v>
      </c>
      <c r="H80" s="60">
        <f>(F80)+G80</f>
        <v>49000</v>
      </c>
      <c r="I80" s="135">
        <f t="shared" ref="I80:I81" si="101">IF(J80="Y",H80*$I$5," ")</f>
        <v>5835.9</v>
      </c>
      <c r="J80" s="125" t="s">
        <v>182</v>
      </c>
      <c r="K80" s="135">
        <f t="shared" si="95"/>
        <v>3748.5</v>
      </c>
      <c r="L80" s="14">
        <f>IF(M80="Y",3624," ")</f>
        <v>3624</v>
      </c>
      <c r="M80" s="135" t="s">
        <v>182</v>
      </c>
      <c r="N80" s="135">
        <f t="shared" si="96"/>
        <v>210.7</v>
      </c>
      <c r="O80" s="135">
        <f>IF(H80&gt;7000,7000*$N$5,H80*$N$5)</f>
        <v>21</v>
      </c>
      <c r="P80" s="13">
        <f t="shared" si="98"/>
        <v>62440.1</v>
      </c>
      <c r="Q80" s="134" t="str">
        <f t="shared" si="100"/>
        <v>*</v>
      </c>
      <c r="R80" s="193" t="s">
        <v>183</v>
      </c>
      <c r="S80" s="134" t="s">
        <v>185</v>
      </c>
    </row>
    <row r="81" spans="1:22" ht="14.1" hidden="1" customHeight="1" x14ac:dyDescent="0.25">
      <c r="A81" s="32" t="e">
        <f>+#REF!</f>
        <v>#REF!</v>
      </c>
      <c r="B81" s="28" t="s">
        <v>199</v>
      </c>
      <c r="G81" s="127"/>
      <c r="H81" s="60"/>
      <c r="I81" s="135">
        <f t="shared" si="101"/>
        <v>0</v>
      </c>
      <c r="J81" s="125" t="s">
        <v>182</v>
      </c>
      <c r="K81" s="135">
        <f t="shared" si="95"/>
        <v>0</v>
      </c>
      <c r="L81" s="14" t="str">
        <f>IF(M81="Y",2400," ")</f>
        <v xml:space="preserve"> </v>
      </c>
      <c r="M81" s="135" t="s">
        <v>188</v>
      </c>
      <c r="N81" s="135">
        <f t="shared" si="96"/>
        <v>0</v>
      </c>
      <c r="O81" s="135">
        <f t="shared" ref="O81" si="102">IF(H81&gt;7000,7000*$N$5,H81*$N$5)</f>
        <v>0</v>
      </c>
      <c r="P81" s="13">
        <f t="shared" si="98"/>
        <v>0</v>
      </c>
      <c r="Q81" s="134" t="str">
        <f t="shared" si="100"/>
        <v/>
      </c>
      <c r="R81" s="134"/>
    </row>
    <row r="82" spans="1:22" ht="14.1" customHeight="1" x14ac:dyDescent="0.25">
      <c r="A82" s="22" t="e">
        <f>SUM(A81:A81,A75:A75,#REF!,#REF!,#REF!,A65,A60:A60,A51:A51,#REF!,#REF!)</f>
        <v>#REF!</v>
      </c>
      <c r="B82" s="29" t="s">
        <v>200</v>
      </c>
      <c r="C82" s="30" t="s">
        <v>201</v>
      </c>
      <c r="D82" s="40"/>
      <c r="E82" s="21"/>
      <c r="F82" s="21">
        <f t="shared" ref="F82:P82" si="103">SUM(F77:F81)</f>
        <v>90540</v>
      </c>
      <c r="G82" s="21">
        <f t="shared" si="103"/>
        <v>3000</v>
      </c>
      <c r="H82" s="21">
        <f t="shared" si="103"/>
        <v>93540</v>
      </c>
      <c r="I82" s="21">
        <f t="shared" si="103"/>
        <v>11140.614</v>
      </c>
      <c r="J82" s="21">
        <f t="shared" si="103"/>
        <v>0</v>
      </c>
      <c r="K82" s="21">
        <f t="shared" si="103"/>
        <v>7155.8099999999995</v>
      </c>
      <c r="L82" s="21">
        <f t="shared" si="103"/>
        <v>3624</v>
      </c>
      <c r="M82" s="21">
        <f t="shared" si="103"/>
        <v>0</v>
      </c>
      <c r="N82" s="21">
        <f t="shared" si="103"/>
        <v>402.22199999999998</v>
      </c>
      <c r="O82" s="21">
        <f t="shared" si="103"/>
        <v>42</v>
      </c>
      <c r="P82" s="21">
        <f t="shared" si="103"/>
        <v>115904.64600000001</v>
      </c>
      <c r="Q82" s="134" t="str">
        <f t="shared" si="100"/>
        <v>*</v>
      </c>
    </row>
    <row r="83" spans="1:22" ht="14.1" customHeight="1" x14ac:dyDescent="0.25">
      <c r="A83" s="35" t="e">
        <f>+A82</f>
        <v>#REF!</v>
      </c>
      <c r="B83" s="43"/>
      <c r="E83" s="14"/>
      <c r="F83" s="60"/>
      <c r="G83" s="14"/>
      <c r="H83" s="62"/>
      <c r="I83" s="13"/>
      <c r="J83" s="134"/>
      <c r="K83" s="134"/>
      <c r="M83" s="134"/>
      <c r="N83" s="134"/>
      <c r="O83" s="134"/>
      <c r="P83" s="134"/>
      <c r="Q83" s="134" t="str">
        <f>+Q90</f>
        <v>*</v>
      </c>
    </row>
    <row r="84" spans="1:22" ht="14.1" hidden="1" customHeight="1" x14ac:dyDescent="0.25">
      <c r="A84" s="31"/>
      <c r="B84" s="28" t="s">
        <v>202</v>
      </c>
      <c r="C84" s="150" t="s">
        <v>13</v>
      </c>
      <c r="D84" s="126"/>
      <c r="E84" s="127"/>
      <c r="F84" s="60"/>
      <c r="G84" s="127"/>
      <c r="H84" s="60"/>
      <c r="I84" s="135"/>
      <c r="J84" s="125"/>
      <c r="K84" s="135"/>
      <c r="L84" s="14"/>
      <c r="M84" s="135"/>
      <c r="N84" s="135"/>
      <c r="O84" s="135"/>
      <c r="P84" s="13"/>
      <c r="Q84" s="134" t="str">
        <f t="shared" ref="Q84:Q90" si="104">IF(P84&gt;0.49,"*","")</f>
        <v/>
      </c>
      <c r="R84" s="134"/>
    </row>
    <row r="85" spans="1:22" ht="14.1" hidden="1" customHeight="1" x14ac:dyDescent="0.25">
      <c r="A85" s="31">
        <v>1</v>
      </c>
      <c r="B85" s="28" t="s">
        <v>202</v>
      </c>
      <c r="C85" s="126"/>
      <c r="D85" s="126"/>
      <c r="E85" s="127"/>
      <c r="F85" s="60"/>
      <c r="G85" s="127"/>
      <c r="H85" s="60">
        <f>(F85)+G85</f>
        <v>0</v>
      </c>
      <c r="I85" s="135">
        <f t="shared" ref="I85:I86" si="105">IF(J85="Y",H85*$I$5," ")</f>
        <v>0</v>
      </c>
      <c r="J85" s="125" t="s">
        <v>182</v>
      </c>
      <c r="K85" s="135">
        <f t="shared" ref="K85" si="106">+$H85*$K$5</f>
        <v>0</v>
      </c>
      <c r="L85" s="14" t="str">
        <f>IF(M85="Y",3624," ")</f>
        <v xml:space="preserve"> </v>
      </c>
      <c r="M85" s="135" t="s">
        <v>188</v>
      </c>
      <c r="N85" s="135">
        <f t="shared" ref="N85" si="107">+$H85*$L$5</f>
        <v>0</v>
      </c>
      <c r="O85" s="135">
        <f>IF(H85&gt;7000,7000*$N$5,H85*$N$5)</f>
        <v>0</v>
      </c>
      <c r="P85" s="13">
        <f t="shared" ref="P85:P86" si="108">SUM(K85:O85,H85:I85)</f>
        <v>0</v>
      </c>
      <c r="Q85" s="134" t="str">
        <f t="shared" si="104"/>
        <v/>
      </c>
      <c r="R85" s="134"/>
    </row>
    <row r="86" spans="1:22" ht="14.1" hidden="1" customHeight="1" x14ac:dyDescent="0.25">
      <c r="A86" s="31">
        <v>1</v>
      </c>
      <c r="B86" s="28" t="s">
        <v>202</v>
      </c>
      <c r="D86" s="150"/>
      <c r="E86" s="127"/>
      <c r="F86" s="60"/>
      <c r="G86" s="127"/>
      <c r="H86" s="60">
        <f>(F86)+G86</f>
        <v>0</v>
      </c>
      <c r="I86" s="135">
        <f t="shared" si="105"/>
        <v>0</v>
      </c>
      <c r="J86" s="125" t="s">
        <v>182</v>
      </c>
      <c r="K86" s="135">
        <f t="shared" ref="K86:K89" si="109">+$H86*$K$5</f>
        <v>0</v>
      </c>
      <c r="L86" s="14" t="str">
        <f>IF(M86="Y",3624," ")</f>
        <v xml:space="preserve"> </v>
      </c>
      <c r="M86" s="135" t="s">
        <v>188</v>
      </c>
      <c r="N86" s="135">
        <f t="shared" ref="N86:N89" si="110">+$H86*$L$5</f>
        <v>0</v>
      </c>
      <c r="O86" s="135">
        <f>IF(H86&gt;7000,7000*$N$5,H86*$N$5)</f>
        <v>0</v>
      </c>
      <c r="P86" s="13">
        <f t="shared" si="108"/>
        <v>0</v>
      </c>
      <c r="Q86" s="134"/>
    </row>
    <row r="87" spans="1:22" ht="14.1" customHeight="1" x14ac:dyDescent="0.25">
      <c r="A87" s="31">
        <v>1</v>
      </c>
      <c r="B87" s="28" t="s">
        <v>202</v>
      </c>
      <c r="C87" s="149" t="s">
        <v>14</v>
      </c>
      <c r="D87" s="123"/>
      <c r="E87" s="127"/>
      <c r="F87" s="60"/>
      <c r="G87" s="127"/>
      <c r="H87" s="60"/>
      <c r="I87" s="135"/>
      <c r="J87" s="125"/>
      <c r="K87" s="135"/>
      <c r="L87" s="14"/>
      <c r="M87" s="135"/>
      <c r="N87" s="135"/>
      <c r="O87" s="135"/>
      <c r="P87" s="13"/>
      <c r="Q87" s="134" t="s">
        <v>2</v>
      </c>
    </row>
    <row r="88" spans="1:22" ht="14.1" customHeight="1" x14ac:dyDescent="0.25">
      <c r="A88" s="32">
        <f>+A87</f>
        <v>1</v>
      </c>
      <c r="B88" s="28" t="s">
        <v>202</v>
      </c>
      <c r="C88" s="249" t="s">
        <v>429</v>
      </c>
      <c r="D88" s="123"/>
      <c r="E88" s="123">
        <v>16</v>
      </c>
      <c r="F88" s="60">
        <f>+E88*20*(7.5*179)/20</f>
        <v>21480</v>
      </c>
      <c r="G88" s="127"/>
      <c r="H88" s="60">
        <f>(F88)+G88</f>
        <v>21480</v>
      </c>
      <c r="I88" s="135">
        <f t="shared" ref="I88" si="111">IF(J88="Y",H88*$I$5," ")</f>
        <v>2558.268</v>
      </c>
      <c r="J88" s="125" t="s">
        <v>182</v>
      </c>
      <c r="K88" s="135">
        <f t="shared" si="109"/>
        <v>1643.22</v>
      </c>
      <c r="L88" s="14">
        <f>IF(M88="Y",3624," ")</f>
        <v>3624</v>
      </c>
      <c r="M88" s="135" t="s">
        <v>182</v>
      </c>
      <c r="N88" s="135">
        <f t="shared" si="110"/>
        <v>92.364000000000004</v>
      </c>
      <c r="O88" s="135">
        <f>IF(H88&gt;7000,7000*$N$5,H88*$N$5)</f>
        <v>21</v>
      </c>
      <c r="P88" s="13">
        <f t="shared" ref="P88" si="112">SUM(K88:O88,H88:I88)</f>
        <v>29418.851999999999</v>
      </c>
      <c r="Q88" s="134" t="str">
        <f t="shared" ref="Q88" si="113">IF(P88&gt;0.49,"*","")</f>
        <v>*</v>
      </c>
      <c r="R88" s="194" t="s">
        <v>433</v>
      </c>
      <c r="S88" s="134" t="s">
        <v>185</v>
      </c>
    </row>
    <row r="89" spans="1:22" ht="14.1" customHeight="1" x14ac:dyDescent="0.25">
      <c r="A89" s="32">
        <f>+A88</f>
        <v>1</v>
      </c>
      <c r="B89" s="28" t="s">
        <v>202</v>
      </c>
      <c r="C89" s="249" t="s">
        <v>428</v>
      </c>
      <c r="D89" s="123"/>
      <c r="E89" s="123">
        <v>16</v>
      </c>
      <c r="F89" s="60">
        <f>+E89*20*(5.75*179)/20</f>
        <v>16468</v>
      </c>
      <c r="G89" s="127"/>
      <c r="H89" s="60">
        <f>(F89)+G89</f>
        <v>16468</v>
      </c>
      <c r="I89" s="135">
        <f t="shared" ref="I89" si="114">IF(J89="Y",H89*$I$5," ")</f>
        <v>1961.3388</v>
      </c>
      <c r="J89" s="125" t="s">
        <v>182</v>
      </c>
      <c r="K89" s="135">
        <f t="shared" si="109"/>
        <v>1259.8019999999999</v>
      </c>
      <c r="L89" s="14" t="str">
        <f>IF(M89="Y",3624," ")</f>
        <v xml:space="preserve"> </v>
      </c>
      <c r="M89" s="135" t="s">
        <v>188</v>
      </c>
      <c r="N89" s="135">
        <f t="shared" si="110"/>
        <v>70.812399999999997</v>
      </c>
      <c r="O89" s="135">
        <f>IF(H89&gt;7000,7000*$N$5,H89*$N$5)</f>
        <v>21</v>
      </c>
      <c r="P89" s="13">
        <f t="shared" ref="P89" si="115">SUM(K89:O89,H89:I89)</f>
        <v>19780.9532</v>
      </c>
      <c r="Q89" s="134" t="str">
        <f t="shared" si="104"/>
        <v>*</v>
      </c>
      <c r="R89" s="194" t="s">
        <v>430</v>
      </c>
      <c r="S89" s="12" t="s">
        <v>185</v>
      </c>
    </row>
    <row r="90" spans="1:22" ht="14.1" customHeight="1" x14ac:dyDescent="0.25">
      <c r="A90" s="22" t="e">
        <f>SUM(A89:A89,A83:A83,A80:A80,A72,#REF!,#REF!,#REF!,A54:A54,#REF!,#REF!)</f>
        <v>#REF!</v>
      </c>
      <c r="B90" s="41" t="s">
        <v>203</v>
      </c>
      <c r="C90" s="30" t="s">
        <v>204</v>
      </c>
      <c r="D90" s="40"/>
      <c r="E90" s="61">
        <f>SUM(E84:E89)</f>
        <v>32</v>
      </c>
      <c r="F90" s="61">
        <f>SUM(F84:F89)</f>
        <v>37948</v>
      </c>
      <c r="G90" s="61">
        <f>SUM(G84:G89)</f>
        <v>0</v>
      </c>
      <c r="H90" s="61">
        <f>SUM(H84:H89)</f>
        <v>37948</v>
      </c>
      <c r="I90" s="20">
        <f>SUM(I84:I89)</f>
        <v>4519.6067999999996</v>
      </c>
      <c r="J90" s="20"/>
      <c r="K90" s="20">
        <f>SUM(K84:K89)</f>
        <v>2903.0219999999999</v>
      </c>
      <c r="L90" s="21">
        <f>SUM(L84:L89)</f>
        <v>3624</v>
      </c>
      <c r="M90" s="20"/>
      <c r="N90" s="20">
        <f>SUM(N84:N89)</f>
        <v>163.1764</v>
      </c>
      <c r="O90" s="20">
        <f>SUM(O84:O89)</f>
        <v>42</v>
      </c>
      <c r="P90" s="20">
        <f>SUM(P84:P89)</f>
        <v>49199.805200000003</v>
      </c>
      <c r="Q90" s="134" t="str">
        <f t="shared" si="104"/>
        <v>*</v>
      </c>
      <c r="R90" s="194"/>
    </row>
    <row r="91" spans="1:22" ht="14.1" customHeight="1" x14ac:dyDescent="0.25">
      <c r="A91" s="125"/>
      <c r="B91" s="43"/>
      <c r="C91" s="126"/>
      <c r="D91" s="126"/>
      <c r="E91" s="14"/>
      <c r="F91" s="60"/>
      <c r="G91" s="14"/>
      <c r="H91" s="62"/>
      <c r="I91" s="13"/>
      <c r="J91" s="134"/>
      <c r="K91" s="134"/>
      <c r="M91" s="134"/>
      <c r="N91" s="134"/>
      <c r="O91" s="134"/>
      <c r="P91" s="134"/>
      <c r="Q91" s="134" t="str">
        <f>+Q99</f>
        <v>*</v>
      </c>
      <c r="R91" s="134"/>
      <c r="S91" s="134"/>
      <c r="T91" s="134"/>
      <c r="U91" s="134"/>
      <c r="V91" s="134"/>
    </row>
    <row r="92" spans="1:22" ht="14.1" customHeight="1" x14ac:dyDescent="0.25">
      <c r="A92" s="125"/>
      <c r="B92" s="28" t="s">
        <v>336</v>
      </c>
      <c r="C92" s="150" t="s">
        <v>13</v>
      </c>
      <c r="D92" s="150"/>
      <c r="E92" s="127"/>
      <c r="F92" s="60"/>
      <c r="G92" s="127"/>
      <c r="H92" s="60"/>
      <c r="I92" s="135"/>
      <c r="J92" s="125"/>
      <c r="K92" s="135"/>
      <c r="L92" s="14"/>
      <c r="M92" s="135"/>
      <c r="N92" s="135"/>
      <c r="O92" s="135"/>
      <c r="P92" s="13"/>
      <c r="Q92" s="134" t="s">
        <v>2</v>
      </c>
      <c r="S92" s="134"/>
      <c r="T92" s="134"/>
      <c r="U92" s="134"/>
      <c r="V92" s="134"/>
    </row>
    <row r="93" spans="1:22" s="34" customFormat="1" ht="14.1" customHeight="1" x14ac:dyDescent="0.25">
      <c r="A93" s="161"/>
      <c r="B93" s="28" t="s">
        <v>336</v>
      </c>
      <c r="C93" s="249" t="s">
        <v>382</v>
      </c>
      <c r="D93" s="123"/>
      <c r="E93" s="127"/>
      <c r="F93" s="60">
        <f>47250*50%</f>
        <v>23625</v>
      </c>
      <c r="G93" s="60"/>
      <c r="H93" s="60">
        <f t="shared" ref="H93:H97" si="116">(F93)+G93</f>
        <v>23625</v>
      </c>
      <c r="I93" s="14">
        <f t="shared" ref="I93" si="117">IF(J93="Y",H93*$I$5," ")</f>
        <v>2813.7374999999997</v>
      </c>
      <c r="J93" s="161" t="s">
        <v>182</v>
      </c>
      <c r="K93" s="14">
        <f>+$H93*$K$5</f>
        <v>1807.3125</v>
      </c>
      <c r="L93" s="14">
        <f>IF(M93="Y",3624," ")*0.5</f>
        <v>1812</v>
      </c>
      <c r="M93" s="14" t="s">
        <v>182</v>
      </c>
      <c r="N93" s="14">
        <f>+$H93*$L$5</f>
        <v>101.58750000000001</v>
      </c>
      <c r="O93" s="14">
        <f>IF(H93&gt;7000,7000*$N$5,H93*$N$5)*50%</f>
        <v>10.5</v>
      </c>
      <c r="P93" s="101">
        <f>SUM(K93:O93,H93:I93)</f>
        <v>30170.137500000001</v>
      </c>
      <c r="Q93" s="34" t="str">
        <f t="shared" ref="Q93" si="118">IF(P93&gt;0.49,"*","")</f>
        <v>*</v>
      </c>
      <c r="R93" s="194" t="s">
        <v>183</v>
      </c>
    </row>
    <row r="94" spans="1:22" s="34" customFormat="1" ht="14.1" customHeight="1" x14ac:dyDescent="0.25">
      <c r="A94" s="161"/>
      <c r="B94" s="28" t="s">
        <v>336</v>
      </c>
      <c r="C94" s="123" t="s">
        <v>400</v>
      </c>
      <c r="D94" s="123"/>
      <c r="E94" s="119"/>
      <c r="F94" s="60">
        <f>43500*PRInf</f>
        <v>44370</v>
      </c>
      <c r="G94" s="60"/>
      <c r="H94" s="60">
        <f t="shared" si="116"/>
        <v>44370</v>
      </c>
      <c r="I94" s="14">
        <f t="shared" ref="I94" si="119">IF(J94="Y",H94*$I$5," ")</f>
        <v>5284.4669999999996</v>
      </c>
      <c r="J94" s="161" t="s">
        <v>182</v>
      </c>
      <c r="K94" s="14">
        <f>+$H94*$K$5</f>
        <v>3394.3049999999998</v>
      </c>
      <c r="L94" s="14" t="str">
        <f>IF(M94="Y",3624," ")</f>
        <v xml:space="preserve"> </v>
      </c>
      <c r="M94" s="14" t="s">
        <v>188</v>
      </c>
      <c r="N94" s="14">
        <f>+$H94*$L$5</f>
        <v>190.791</v>
      </c>
      <c r="O94" s="14">
        <f>IF(H94&gt;7000,7000*$N$5,H94*$N$5)</f>
        <v>21</v>
      </c>
      <c r="P94" s="101">
        <f t="shared" ref="P94:P98" si="120">SUM(K94:O94,H94:I94)</f>
        <v>53260.562999999995</v>
      </c>
      <c r="Q94" s="34" t="str">
        <f t="shared" ref="Q94:Q99" si="121">IF(P94&gt;0.49,"*","")</f>
        <v>*</v>
      </c>
      <c r="R94" s="194" t="s">
        <v>183</v>
      </c>
    </row>
    <row r="95" spans="1:22" ht="14.1" customHeight="1" x14ac:dyDescent="0.25">
      <c r="A95" s="125"/>
      <c r="B95" s="28" t="s">
        <v>336</v>
      </c>
      <c r="C95" s="149" t="s">
        <v>14</v>
      </c>
      <c r="D95" s="149"/>
      <c r="E95" s="127"/>
      <c r="F95" s="60"/>
      <c r="G95" s="127"/>
      <c r="H95" s="60"/>
      <c r="I95" s="14"/>
      <c r="J95" s="161" t="s">
        <v>182</v>
      </c>
      <c r="K95" s="14"/>
      <c r="L95" s="14"/>
      <c r="M95" s="14"/>
      <c r="N95" s="14"/>
      <c r="O95" s="14"/>
      <c r="P95" s="101">
        <f t="shared" si="120"/>
        <v>0</v>
      </c>
      <c r="Q95" s="34" t="s">
        <v>2</v>
      </c>
      <c r="R95" s="194"/>
      <c r="S95" s="34"/>
      <c r="T95" s="34"/>
      <c r="U95" s="34"/>
      <c r="V95" s="34"/>
    </row>
    <row r="96" spans="1:22" ht="14.7" customHeight="1" x14ac:dyDescent="0.25">
      <c r="A96" s="125"/>
      <c r="B96" s="28" t="s">
        <v>336</v>
      </c>
      <c r="C96" s="123" t="s">
        <v>388</v>
      </c>
      <c r="D96" s="123"/>
      <c r="E96" s="127"/>
      <c r="F96" s="60">
        <f>50000*PRInf</f>
        <v>51000</v>
      </c>
      <c r="G96" s="60"/>
      <c r="H96" s="60">
        <f t="shared" si="116"/>
        <v>51000</v>
      </c>
      <c r="I96" s="135">
        <f t="shared" ref="I96:I98" si="122">IF(J96="Y",H96*$I$5," ")</f>
        <v>6074.0999999999995</v>
      </c>
      <c r="J96" s="125" t="s">
        <v>182</v>
      </c>
      <c r="K96" s="135">
        <f>+$H96*$K$5</f>
        <v>3901.5</v>
      </c>
      <c r="L96" s="14" t="str">
        <f>IF(M96="Y",3624," ")</f>
        <v xml:space="preserve"> </v>
      </c>
      <c r="M96" s="135" t="s">
        <v>188</v>
      </c>
      <c r="N96" s="135">
        <f>+$H96*$L$5</f>
        <v>219.3</v>
      </c>
      <c r="O96" s="135">
        <f>IF(H96&gt;7000,7000*$N$5,H96*$N$5)</f>
        <v>21</v>
      </c>
      <c r="P96" s="101">
        <f t="shared" si="120"/>
        <v>61215.9</v>
      </c>
      <c r="Q96" s="134" t="str">
        <f t="shared" ref="Q96:Q97" si="123">IF(P96&gt;0.49,"*","")</f>
        <v>*</v>
      </c>
      <c r="R96" s="193" t="s">
        <v>183</v>
      </c>
      <c r="S96" s="134"/>
      <c r="T96" s="134"/>
      <c r="U96" s="134"/>
      <c r="V96" s="134"/>
    </row>
    <row r="97" spans="1:22" s="134" customFormat="1" ht="14.7" customHeight="1" x14ac:dyDescent="0.25">
      <c r="A97" s="125"/>
      <c r="B97" s="28" t="s">
        <v>336</v>
      </c>
      <c r="C97" s="249" t="s">
        <v>382</v>
      </c>
      <c r="D97" s="123"/>
      <c r="E97" s="127"/>
      <c r="F97" s="60">
        <f>47250*50%</f>
        <v>23625</v>
      </c>
      <c r="G97" s="60"/>
      <c r="H97" s="60">
        <f t="shared" si="116"/>
        <v>23625</v>
      </c>
      <c r="I97" s="135">
        <f t="shared" si="122"/>
        <v>2813.7374999999997</v>
      </c>
      <c r="J97" s="125" t="s">
        <v>182</v>
      </c>
      <c r="K97" s="135">
        <f>+$H97*$K$5</f>
        <v>1807.3125</v>
      </c>
      <c r="L97" s="14">
        <f>IF(M97="Y",3624," ")*0.5</f>
        <v>1812</v>
      </c>
      <c r="M97" s="135" t="s">
        <v>182</v>
      </c>
      <c r="N97" s="135">
        <f>+$H97*$L$5</f>
        <v>101.58750000000001</v>
      </c>
      <c r="O97" s="14">
        <f>IF(H97&gt;7000,7000*$N$5,H97*$N$5)*50%</f>
        <v>10.5</v>
      </c>
      <c r="P97" s="101">
        <f t="shared" si="120"/>
        <v>30170.137500000001</v>
      </c>
      <c r="Q97" s="134" t="str">
        <f t="shared" si="123"/>
        <v>*</v>
      </c>
      <c r="R97" s="193" t="s">
        <v>183</v>
      </c>
    </row>
    <row r="98" spans="1:22" ht="14.1" hidden="1" customHeight="1" x14ac:dyDescent="0.25">
      <c r="A98" s="125"/>
      <c r="B98" s="28" t="s">
        <v>205</v>
      </c>
      <c r="C98" s="178"/>
      <c r="D98" s="178"/>
      <c r="E98" s="127"/>
      <c r="F98" s="60"/>
      <c r="G98" s="127"/>
      <c r="H98" s="60"/>
      <c r="I98" s="135">
        <f t="shared" si="122"/>
        <v>0</v>
      </c>
      <c r="J98" s="125" t="s">
        <v>182</v>
      </c>
      <c r="K98" s="135">
        <f>+$H98*$K$5</f>
        <v>0</v>
      </c>
      <c r="L98" s="14" t="str">
        <f>IF(M98="Y",2400," ")</f>
        <v xml:space="preserve"> </v>
      </c>
      <c r="M98" s="135" t="s">
        <v>188</v>
      </c>
      <c r="N98" s="135">
        <f>+$H98*$L$5</f>
        <v>0</v>
      </c>
      <c r="O98" s="135">
        <f>IF(H98&gt;7000,7000*$N$5,H98*$N$5)</f>
        <v>0</v>
      </c>
      <c r="P98" s="101">
        <f t="shared" si="120"/>
        <v>0</v>
      </c>
      <c r="Q98" s="134" t="str">
        <f t="shared" si="121"/>
        <v/>
      </c>
      <c r="R98" s="134"/>
      <c r="S98" s="134"/>
      <c r="T98" s="134"/>
      <c r="U98" s="134"/>
      <c r="V98" s="134"/>
    </row>
    <row r="99" spans="1:22" ht="14.1" customHeight="1" x14ac:dyDescent="0.25">
      <c r="A99" s="125"/>
      <c r="B99" s="41" t="s">
        <v>367</v>
      </c>
      <c r="C99" s="124" t="s">
        <v>206</v>
      </c>
      <c r="D99" s="182"/>
      <c r="E99" s="21">
        <f>SUM(E92:E98)</f>
        <v>0</v>
      </c>
      <c r="F99" s="61">
        <f t="shared" ref="F99:G99" si="124">SUM(F92:F98)</f>
        <v>142620</v>
      </c>
      <c r="G99" s="61">
        <f t="shared" si="124"/>
        <v>0</v>
      </c>
      <c r="H99" s="61">
        <f>SUM(H92:H98)</f>
        <v>142620</v>
      </c>
      <c r="I99" s="61">
        <f t="shared" ref="I99:P99" si="125">SUM(I92:I98)</f>
        <v>16986.041999999998</v>
      </c>
      <c r="J99" s="61">
        <f t="shared" si="125"/>
        <v>0</v>
      </c>
      <c r="K99" s="61">
        <f t="shared" si="125"/>
        <v>10910.43</v>
      </c>
      <c r="L99" s="61">
        <f t="shared" si="125"/>
        <v>3624</v>
      </c>
      <c r="M99" s="61">
        <f t="shared" si="125"/>
        <v>0</v>
      </c>
      <c r="N99" s="61">
        <f t="shared" si="125"/>
        <v>613.26600000000008</v>
      </c>
      <c r="O99" s="61">
        <f t="shared" si="125"/>
        <v>63</v>
      </c>
      <c r="P99" s="61">
        <f t="shared" si="125"/>
        <v>174816.73800000001</v>
      </c>
      <c r="Q99" s="134" t="str">
        <f t="shared" si="121"/>
        <v>*</v>
      </c>
      <c r="S99" s="134"/>
      <c r="T99" s="134"/>
      <c r="U99" s="134"/>
      <c r="V99" s="134"/>
    </row>
    <row r="100" spans="1:22" ht="14.1" customHeight="1" x14ac:dyDescent="0.25">
      <c r="A100" s="31">
        <v>1</v>
      </c>
      <c r="B100" s="40"/>
      <c r="C100" s="123"/>
      <c r="D100" s="123"/>
      <c r="E100" s="127"/>
      <c r="F100" s="60"/>
      <c r="G100" s="127"/>
      <c r="H100" s="60"/>
      <c r="I100" s="135"/>
      <c r="J100" s="125" t="s">
        <v>182</v>
      </c>
      <c r="K100" s="135"/>
      <c r="L100" s="14"/>
      <c r="M100" s="135"/>
      <c r="N100" s="135"/>
      <c r="O100" s="135"/>
      <c r="P100" s="13"/>
      <c r="Q100" s="134" t="str">
        <f>+Q104</f>
        <v>*</v>
      </c>
      <c r="R100" s="172"/>
    </row>
    <row r="101" spans="1:22" ht="14.1" customHeight="1" x14ac:dyDescent="0.25">
      <c r="A101" s="42"/>
      <c r="B101" s="28" t="s">
        <v>207</v>
      </c>
      <c r="C101" s="149" t="s">
        <v>366</v>
      </c>
      <c r="D101" s="149"/>
      <c r="F101" s="60"/>
      <c r="G101" s="101"/>
      <c r="H101" s="60"/>
      <c r="I101" s="20"/>
      <c r="J101" s="125"/>
      <c r="K101" s="135"/>
      <c r="L101" s="14"/>
      <c r="M101" s="135"/>
      <c r="N101" s="135"/>
      <c r="O101" s="135"/>
      <c r="P101" s="13"/>
      <c r="Q101" s="134" t="s">
        <v>2</v>
      </c>
    </row>
    <row r="102" spans="1:22" ht="14.1" customHeight="1" x14ac:dyDescent="0.25">
      <c r="A102" s="31">
        <v>1</v>
      </c>
      <c r="B102" s="28" t="s">
        <v>207</v>
      </c>
      <c r="C102" s="127" t="s">
        <v>208</v>
      </c>
      <c r="D102" s="127"/>
      <c r="E102" s="127"/>
      <c r="F102" s="60">
        <f>42075*PRInf</f>
        <v>42916.5</v>
      </c>
      <c r="G102" s="60"/>
      <c r="H102" s="60">
        <f>(F102*PRInf)+G102</f>
        <v>43774.83</v>
      </c>
      <c r="I102" s="14">
        <f t="shared" ref="I102" si="126">IF(J102="Y",H102*$I$5," ")</f>
        <v>5213.5822530000005</v>
      </c>
      <c r="J102" s="125" t="s">
        <v>182</v>
      </c>
      <c r="K102" s="135">
        <f t="shared" ref="K102:K103" si="127">+$H102*$K$5</f>
        <v>3348.7744950000001</v>
      </c>
      <c r="L102" s="14" t="str">
        <f>IF(M102="Y",3624," ")</f>
        <v xml:space="preserve"> </v>
      </c>
      <c r="M102" s="135" t="s">
        <v>188</v>
      </c>
      <c r="N102" s="135">
        <f t="shared" ref="N102:N103" si="128">+$H102*$L$5</f>
        <v>188.23176900000001</v>
      </c>
      <c r="O102" s="135">
        <f>IF(H102&gt;7000,7000*$N$5,H102*$N$5)</f>
        <v>21</v>
      </c>
      <c r="P102" s="13">
        <f t="shared" ref="P102" si="129">SUM(K102:O102,H102:I102)</f>
        <v>52546.418517000006</v>
      </c>
      <c r="Q102" s="134" t="str">
        <f>IF(P102&gt;0.49,"*","")</f>
        <v>*</v>
      </c>
      <c r="R102" s="193" t="s">
        <v>183</v>
      </c>
    </row>
    <row r="103" spans="1:22" ht="14.1" hidden="1" customHeight="1" x14ac:dyDescent="0.25">
      <c r="A103" s="42"/>
      <c r="B103" s="28" t="s">
        <v>207</v>
      </c>
      <c r="C103" s="40"/>
      <c r="D103" s="40"/>
      <c r="E103" s="127"/>
      <c r="F103" s="60"/>
      <c r="G103" s="127"/>
      <c r="H103" s="60">
        <f>(F103*PRInf)+G103</f>
        <v>0</v>
      </c>
      <c r="I103" s="14">
        <f t="shared" ref="I103" si="130">IF(J103="Y",H103*$I$5," ")</f>
        <v>0</v>
      </c>
      <c r="J103" s="125" t="s">
        <v>182</v>
      </c>
      <c r="K103" s="135">
        <f t="shared" si="127"/>
        <v>0</v>
      </c>
      <c r="L103" s="14" t="str">
        <f>IF(M103="Y",3624," ")</f>
        <v xml:space="preserve"> </v>
      </c>
      <c r="M103" s="135" t="s">
        <v>188</v>
      </c>
      <c r="N103" s="135">
        <f t="shared" si="128"/>
        <v>0</v>
      </c>
      <c r="O103" s="135">
        <f>IF(H103&gt;7000,7000*$N$5,H103*$N$5)</f>
        <v>0</v>
      </c>
      <c r="P103" s="13">
        <f t="shared" ref="P103" si="131">SUM(K103:O103,H103:I103)</f>
        <v>0</v>
      </c>
      <c r="Q103" s="134"/>
      <c r="R103" s="134"/>
    </row>
    <row r="104" spans="1:22" ht="14.1" customHeight="1" x14ac:dyDescent="0.25">
      <c r="A104" s="22" t="e">
        <f>SUM(A103:A103,A92:A92,#REF!,#REF!,A84:A84,A80,#REF!,#REF!,A61:A61,#REF!)</f>
        <v>#REF!</v>
      </c>
      <c r="B104" s="41" t="s">
        <v>209</v>
      </c>
      <c r="C104" s="30" t="s">
        <v>71</v>
      </c>
      <c r="D104" s="40"/>
      <c r="E104" s="21">
        <f>SUM(E100:E103)</f>
        <v>0</v>
      </c>
      <c r="F104" s="61">
        <f t="shared" ref="F104:G104" si="132">SUM(F100:F103)</f>
        <v>42916.5</v>
      </c>
      <c r="G104" s="61">
        <f t="shared" si="132"/>
        <v>0</v>
      </c>
      <c r="H104" s="61">
        <f>SUM(H100:H103)</f>
        <v>43774.83</v>
      </c>
      <c r="I104" s="20">
        <f>SUM(I100:I103)</f>
        <v>5213.5822530000005</v>
      </c>
      <c r="J104" s="20"/>
      <c r="K104" s="20">
        <f>SUM(K100:K103)</f>
        <v>3348.7744950000001</v>
      </c>
      <c r="L104" s="21">
        <f>SUM(L100:L103)</f>
        <v>0</v>
      </c>
      <c r="M104" s="20"/>
      <c r="N104" s="20">
        <f>SUM(N100:N103)</f>
        <v>188.23176900000001</v>
      </c>
      <c r="O104" s="20">
        <f>SUM(O100:O103)</f>
        <v>21</v>
      </c>
      <c r="P104" s="20">
        <f>SUM(P100:P103)</f>
        <v>52546.418517000006</v>
      </c>
      <c r="Q104" s="134" t="str">
        <f>IF(P104&gt;0.49,"*","")</f>
        <v>*</v>
      </c>
      <c r="S104" s="134"/>
      <c r="T104" s="134"/>
      <c r="U104" s="134"/>
    </row>
    <row r="105" spans="1:22" ht="14.1" customHeight="1" x14ac:dyDescent="0.25">
      <c r="A105" s="125"/>
      <c r="B105" s="34"/>
      <c r="E105" s="14"/>
      <c r="F105" s="60"/>
      <c r="G105" s="14"/>
      <c r="H105" s="62"/>
      <c r="I105" s="13"/>
      <c r="J105" s="134"/>
      <c r="K105" s="134"/>
      <c r="M105" s="134"/>
      <c r="N105" s="134"/>
      <c r="O105" s="134"/>
      <c r="P105" s="134"/>
      <c r="Q105" s="134" t="str">
        <f>+Q118</f>
        <v>*</v>
      </c>
      <c r="S105" s="134"/>
      <c r="T105" s="134"/>
      <c r="U105" s="134"/>
    </row>
    <row r="106" spans="1:22" ht="14.1" customHeight="1" x14ac:dyDescent="0.25">
      <c r="A106" s="125"/>
      <c r="B106" s="28" t="s">
        <v>210</v>
      </c>
      <c r="C106" s="149" t="s">
        <v>13</v>
      </c>
      <c r="D106" s="149"/>
      <c r="E106" s="127"/>
      <c r="F106" s="60"/>
      <c r="G106" s="127"/>
      <c r="H106" s="60"/>
      <c r="I106" s="135"/>
      <c r="J106" s="125"/>
      <c r="K106" s="135"/>
      <c r="L106" s="14"/>
      <c r="M106" s="135"/>
      <c r="N106" s="135"/>
      <c r="O106" s="135"/>
      <c r="P106" s="13"/>
      <c r="Q106" s="134" t="s">
        <v>2</v>
      </c>
      <c r="S106" s="134"/>
      <c r="T106" s="134"/>
      <c r="U106" s="134"/>
    </row>
    <row r="107" spans="1:22" s="134" customFormat="1" ht="14.1" customHeight="1" x14ac:dyDescent="0.25">
      <c r="A107" s="125"/>
      <c r="B107" s="28" t="s">
        <v>210</v>
      </c>
      <c r="C107" s="123" t="s">
        <v>364</v>
      </c>
      <c r="D107" s="123"/>
      <c r="E107" s="127"/>
      <c r="F107" s="60">
        <f>55000*60%*PRInf</f>
        <v>33660</v>
      </c>
      <c r="G107" s="60"/>
      <c r="H107" s="60">
        <f>(F107)+G107</f>
        <v>33660</v>
      </c>
      <c r="I107" s="135">
        <f t="shared" ref="I107" si="133">IF(J107="Y",H107*$I$5," ")</f>
        <v>4008.9059999999999</v>
      </c>
      <c r="J107" s="125" t="s">
        <v>182</v>
      </c>
      <c r="K107" s="135">
        <f t="shared" ref="K107:K117" si="134">+$H107*$K$5</f>
        <v>2574.9899999999998</v>
      </c>
      <c r="L107" s="14" t="str">
        <f>IF(M107="Y",3624," ")</f>
        <v xml:space="preserve"> </v>
      </c>
      <c r="M107" s="135" t="s">
        <v>188</v>
      </c>
      <c r="N107" s="135">
        <f t="shared" ref="N107:N117" si="135">+$H107*$L$5</f>
        <v>144.738</v>
      </c>
      <c r="O107" s="135">
        <f>IF(H107&gt;7000,7000*$N$5,H107*$N$5)*60%</f>
        <v>12.6</v>
      </c>
      <c r="P107" s="13">
        <f t="shared" ref="P107" si="136">SUM(K107:O107,H107:I107)</f>
        <v>40401.234000000004</v>
      </c>
      <c r="Q107" s="134" t="str">
        <f t="shared" ref="Q107" si="137">IF(P107&gt;0.49,"*","")</f>
        <v>*</v>
      </c>
      <c r="R107" s="193" t="s">
        <v>183</v>
      </c>
      <c r="T107" s="135"/>
      <c r="U107" s="34"/>
    </row>
    <row r="108" spans="1:22" s="134" customFormat="1" ht="14.1" customHeight="1" x14ac:dyDescent="0.25">
      <c r="A108" s="125"/>
      <c r="B108" s="28" t="s">
        <v>210</v>
      </c>
      <c r="C108" s="123" t="s">
        <v>353</v>
      </c>
      <c r="D108" s="123"/>
      <c r="E108" s="127"/>
      <c r="F108" s="60">
        <f>73000*1/3</f>
        <v>24333.333333333332</v>
      </c>
      <c r="G108" s="60"/>
      <c r="H108" s="60">
        <f>(F108)+G108</f>
        <v>24333.333333333332</v>
      </c>
      <c r="I108" s="135">
        <f t="shared" ref="I108:I110" si="138">IF(J108="Y",H108*$I$5," ")</f>
        <v>2898.1</v>
      </c>
      <c r="J108" s="125" t="s">
        <v>182</v>
      </c>
      <c r="K108" s="135">
        <f t="shared" si="134"/>
        <v>1861.4999999999998</v>
      </c>
      <c r="L108" s="14" t="str">
        <f>IF(M108="Y",3624," ")</f>
        <v xml:space="preserve"> </v>
      </c>
      <c r="M108" s="135" t="s">
        <v>188</v>
      </c>
      <c r="N108" s="135">
        <f t="shared" si="135"/>
        <v>104.63333333333333</v>
      </c>
      <c r="O108" s="135">
        <f>IF(H108&gt;7000,7000*$N$5,H108*$N$5)*(1/3)</f>
        <v>7</v>
      </c>
      <c r="P108" s="13">
        <f t="shared" ref="P108:P114" si="139">SUM(K108:O108,H108:I108)</f>
        <v>29204.566666666666</v>
      </c>
      <c r="Q108" s="134" t="str">
        <f t="shared" ref="Q108" si="140">IF(P108&gt;0.49,"*","")</f>
        <v>*</v>
      </c>
      <c r="R108" s="193" t="s">
        <v>183</v>
      </c>
      <c r="S108" s="134" t="s">
        <v>185</v>
      </c>
    </row>
    <row r="109" spans="1:22" ht="14.1" customHeight="1" x14ac:dyDescent="0.25">
      <c r="A109" s="125"/>
      <c r="B109" s="28" t="s">
        <v>210</v>
      </c>
      <c r="C109" s="123" t="s">
        <v>211</v>
      </c>
      <c r="D109" s="123"/>
      <c r="E109" s="127"/>
      <c r="F109" s="60">
        <v>75000</v>
      </c>
      <c r="G109" s="60"/>
      <c r="H109" s="60">
        <f>(F109)+G109</f>
        <v>75000</v>
      </c>
      <c r="I109" s="135">
        <f t="shared" si="138"/>
        <v>8932.5</v>
      </c>
      <c r="J109" s="125" t="s">
        <v>182</v>
      </c>
      <c r="K109" s="135">
        <f t="shared" si="134"/>
        <v>5737.5</v>
      </c>
      <c r="L109" s="14">
        <f>IF(M109="Y",3624," ")</f>
        <v>3624</v>
      </c>
      <c r="M109" s="135" t="s">
        <v>182</v>
      </c>
      <c r="N109" s="135">
        <f t="shared" si="135"/>
        <v>322.5</v>
      </c>
      <c r="O109" s="135">
        <f t="shared" ref="O109" si="141">IF(H109&gt;7000,7000*$N$5,H109*$N$5)</f>
        <v>21</v>
      </c>
      <c r="P109" s="13">
        <f t="shared" si="139"/>
        <v>93637.5</v>
      </c>
      <c r="Q109" s="134" t="str">
        <f t="shared" ref="Q109:Q118" si="142">IF(P109&gt;0.49,"*","")</f>
        <v>*</v>
      </c>
      <c r="R109" s="193" t="s">
        <v>183</v>
      </c>
      <c r="S109" s="134" t="s">
        <v>185</v>
      </c>
      <c r="T109" s="134"/>
      <c r="U109" s="134"/>
    </row>
    <row r="110" spans="1:22" s="134" customFormat="1" ht="14.1" hidden="1" customHeight="1" x14ac:dyDescent="0.25">
      <c r="A110" s="125"/>
      <c r="B110" s="28" t="s">
        <v>210</v>
      </c>
      <c r="C110" s="123"/>
      <c r="D110" s="123"/>
      <c r="E110" s="127"/>
      <c r="F110" s="60"/>
      <c r="G110" s="119"/>
      <c r="H110" s="60">
        <f>(F110)+G110</f>
        <v>0</v>
      </c>
      <c r="I110" s="135">
        <f t="shared" si="138"/>
        <v>0</v>
      </c>
      <c r="J110" s="125" t="s">
        <v>182</v>
      </c>
      <c r="K110" s="135">
        <f t="shared" si="134"/>
        <v>0</v>
      </c>
      <c r="L110" s="14"/>
      <c r="M110" s="135" t="s">
        <v>182</v>
      </c>
      <c r="N110" s="135">
        <f t="shared" si="135"/>
        <v>0</v>
      </c>
      <c r="O110" s="135">
        <f>IF(H110&gt;7000,7000*$N$5,H110*$N$5)*50%</f>
        <v>0</v>
      </c>
      <c r="P110" s="13">
        <f t="shared" si="139"/>
        <v>0</v>
      </c>
      <c r="Q110" s="134" t="str">
        <f t="shared" ref="Q110" si="143">IF(P110&gt;0.49,"*","")</f>
        <v/>
      </c>
      <c r="R110" s="193" t="s">
        <v>183</v>
      </c>
    </row>
    <row r="111" spans="1:22" ht="14.1" customHeight="1" x14ac:dyDescent="0.25">
      <c r="A111" s="125"/>
      <c r="B111" s="28" t="s">
        <v>210</v>
      </c>
      <c r="C111" s="149" t="s">
        <v>14</v>
      </c>
      <c r="D111" s="149"/>
      <c r="E111" s="127"/>
      <c r="F111" s="60"/>
      <c r="G111" s="127"/>
      <c r="H111" s="60"/>
      <c r="I111" s="135"/>
      <c r="J111" s="125"/>
      <c r="K111" s="135"/>
      <c r="L111" s="14"/>
      <c r="M111" s="135" t="s">
        <v>188</v>
      </c>
      <c r="N111" s="135"/>
      <c r="O111" s="135"/>
      <c r="P111" s="13">
        <f t="shared" si="139"/>
        <v>0</v>
      </c>
      <c r="Q111" s="134" t="s">
        <v>2</v>
      </c>
      <c r="S111" s="134"/>
      <c r="T111" s="134"/>
      <c r="U111" s="134"/>
    </row>
    <row r="112" spans="1:22" ht="14.1" customHeight="1" x14ac:dyDescent="0.25">
      <c r="A112" s="125"/>
      <c r="B112" s="28" t="s">
        <v>210</v>
      </c>
      <c r="C112" s="123"/>
      <c r="D112" s="123"/>
      <c r="E112" s="127"/>
      <c r="F112" s="60">
        <v>0</v>
      </c>
      <c r="G112" s="60"/>
      <c r="H112" s="60">
        <f t="shared" ref="H112" si="144">(F112)+G112</f>
        <v>0</v>
      </c>
      <c r="I112" s="135">
        <f t="shared" ref="I112:I115" si="145">IF(J112="Y",H112*$I$5," ")</f>
        <v>0</v>
      </c>
      <c r="J112" s="125" t="s">
        <v>182</v>
      </c>
      <c r="K112" s="135">
        <f t="shared" ref="K112" si="146">+$H112*$K$5</f>
        <v>0</v>
      </c>
      <c r="L112" s="14" t="str">
        <f>IF(M112="Y",3624," ")</f>
        <v xml:space="preserve"> </v>
      </c>
      <c r="M112" s="135" t="s">
        <v>188</v>
      </c>
      <c r="N112" s="135">
        <f t="shared" ref="N112" si="147">+$H112*$L$5</f>
        <v>0</v>
      </c>
      <c r="O112" s="135">
        <f>IF(H112&gt;7000,7000*$N$5,H112*$N$5)</f>
        <v>0</v>
      </c>
      <c r="P112" s="13">
        <f t="shared" si="139"/>
        <v>0</v>
      </c>
      <c r="Q112" s="134" t="s">
        <v>2</v>
      </c>
      <c r="R112" s="193" t="s">
        <v>183</v>
      </c>
      <c r="S112" s="134"/>
      <c r="T112" s="134"/>
      <c r="U112" s="134"/>
    </row>
    <row r="113" spans="1:21" s="134" customFormat="1" ht="14.1" customHeight="1" x14ac:dyDescent="0.25">
      <c r="A113" s="125"/>
      <c r="B113" s="28" t="s">
        <v>210</v>
      </c>
      <c r="C113" s="123" t="s">
        <v>365</v>
      </c>
      <c r="D113" s="123"/>
      <c r="E113" s="127"/>
      <c r="F113" s="60">
        <f>55000*40%*PRInf</f>
        <v>22440</v>
      </c>
      <c r="G113" s="60"/>
      <c r="H113" s="60">
        <f>(F113)+G113</f>
        <v>22440</v>
      </c>
      <c r="I113" s="14">
        <f t="shared" ref="I113" si="148">IF(J113="Y",H113*$I$5," ")</f>
        <v>2672.6039999999998</v>
      </c>
      <c r="J113" s="161" t="s">
        <v>182</v>
      </c>
      <c r="K113" s="14">
        <f t="shared" si="134"/>
        <v>1716.6599999999999</v>
      </c>
      <c r="L113" s="14" t="str">
        <f>IF(M113="Y",3624," ")</f>
        <v xml:space="preserve"> </v>
      </c>
      <c r="M113" s="135" t="s">
        <v>188</v>
      </c>
      <c r="N113" s="135">
        <f t="shared" si="135"/>
        <v>96.492000000000004</v>
      </c>
      <c r="O113" s="135">
        <f>IF(H113&gt;7000,7000*$N$5,H113*$N$5)*40%</f>
        <v>8.4</v>
      </c>
      <c r="P113" s="13">
        <f t="shared" si="139"/>
        <v>26934.155999999999</v>
      </c>
      <c r="Q113" s="134" t="str">
        <f t="shared" ref="Q113" si="149">IF(P113&gt;0.49,"*","")</f>
        <v>*</v>
      </c>
      <c r="R113" s="193" t="s">
        <v>183</v>
      </c>
    </row>
    <row r="114" spans="1:21" ht="14.1" customHeight="1" x14ac:dyDescent="0.25">
      <c r="A114" s="125"/>
      <c r="B114" s="28" t="s">
        <v>210</v>
      </c>
      <c r="C114" s="256" t="s">
        <v>346</v>
      </c>
      <c r="D114" s="123"/>
      <c r="E114" s="127"/>
      <c r="F114" s="60">
        <f>55000*PRInf</f>
        <v>56100</v>
      </c>
      <c r="G114" s="60"/>
      <c r="H114" s="60">
        <f>(F114)+G114</f>
        <v>56100</v>
      </c>
      <c r="I114" s="135">
        <f t="shared" si="145"/>
        <v>6681.51</v>
      </c>
      <c r="J114" s="125" t="s">
        <v>182</v>
      </c>
      <c r="K114" s="135">
        <f t="shared" si="134"/>
        <v>4291.6499999999996</v>
      </c>
      <c r="L114" s="14">
        <f>IF(M114="Y",3624," ")</f>
        <v>3624</v>
      </c>
      <c r="M114" s="135" t="s">
        <v>182</v>
      </c>
      <c r="N114" s="135">
        <f t="shared" si="135"/>
        <v>241.23</v>
      </c>
      <c r="O114" s="135">
        <f>IF(H114&gt;7000,7000*$N$5,H114*$N$5)</f>
        <v>21</v>
      </c>
      <c r="P114" s="13">
        <f t="shared" si="139"/>
        <v>70959.39</v>
      </c>
      <c r="Q114" s="134" t="str">
        <f t="shared" si="142"/>
        <v>*</v>
      </c>
      <c r="R114" s="193" t="s">
        <v>183</v>
      </c>
      <c r="S114" s="134"/>
      <c r="T114" s="134"/>
      <c r="U114" s="134"/>
    </row>
    <row r="115" spans="1:21" ht="14.1" customHeight="1" x14ac:dyDescent="0.25">
      <c r="A115" s="125"/>
      <c r="B115" s="28" t="s">
        <v>210</v>
      </c>
      <c r="C115" s="123" t="s">
        <v>328</v>
      </c>
      <c r="D115" s="123"/>
      <c r="E115" s="127"/>
      <c r="F115" s="60">
        <f>73000*1/3</f>
        <v>24333.333333333332</v>
      </c>
      <c r="G115" s="60"/>
      <c r="H115" s="60">
        <f>(F115)+G115</f>
        <v>24333.333333333332</v>
      </c>
      <c r="I115" s="135">
        <f t="shared" si="145"/>
        <v>2898.1</v>
      </c>
      <c r="J115" s="125" t="s">
        <v>182</v>
      </c>
      <c r="K115" s="135">
        <f t="shared" si="134"/>
        <v>1861.4999999999998</v>
      </c>
      <c r="L115" s="14" t="str">
        <f>IF(M115="Y",3624," ")</f>
        <v xml:space="preserve"> </v>
      </c>
      <c r="M115" s="135" t="s">
        <v>188</v>
      </c>
      <c r="N115" s="135">
        <f t="shared" si="135"/>
        <v>104.63333333333333</v>
      </c>
      <c r="O115" s="135">
        <f>IF(H115&gt;7000,7000*$N$5,H115*$N$5)*(1/3)</f>
        <v>7</v>
      </c>
      <c r="P115" s="13">
        <f t="shared" ref="P115" si="150">SUM(K115:O115,H115:I115)</f>
        <v>29204.566666666666</v>
      </c>
      <c r="Q115" s="134" t="str">
        <f t="shared" si="142"/>
        <v>*</v>
      </c>
      <c r="R115" s="193" t="s">
        <v>183</v>
      </c>
      <c r="S115" s="134" t="s">
        <v>185</v>
      </c>
      <c r="T115" s="134"/>
      <c r="U115" s="134"/>
    </row>
    <row r="116" spans="1:21" s="134" customFormat="1" ht="14.1" customHeight="1" x14ac:dyDescent="0.25">
      <c r="A116" s="125"/>
      <c r="B116" s="28" t="s">
        <v>210</v>
      </c>
      <c r="C116" s="123" t="s">
        <v>369</v>
      </c>
      <c r="D116" s="123"/>
      <c r="E116" s="127"/>
      <c r="F116" s="60">
        <v>47500</v>
      </c>
      <c r="G116" s="127"/>
      <c r="H116" s="60">
        <f>(F116)+G116</f>
        <v>47500</v>
      </c>
      <c r="I116" s="135">
        <f t="shared" ref="I116" si="151">IF(J116="Y",H116*$I$5," ")</f>
        <v>5657.25</v>
      </c>
      <c r="J116" s="125" t="s">
        <v>182</v>
      </c>
      <c r="K116" s="135">
        <f t="shared" si="134"/>
        <v>3633.75</v>
      </c>
      <c r="L116" s="14">
        <f>IF(M116="Y",3624," ")</f>
        <v>3624</v>
      </c>
      <c r="M116" s="135" t="s">
        <v>182</v>
      </c>
      <c r="N116" s="135">
        <f t="shared" si="135"/>
        <v>204.25</v>
      </c>
      <c r="O116" s="135">
        <f>IF(H116&gt;7000,7000*$N$5,H116*$N$5)</f>
        <v>21</v>
      </c>
      <c r="P116" s="13">
        <f t="shared" ref="P116" si="152">SUM(K116:O116,H116:I116)</f>
        <v>60640.25</v>
      </c>
      <c r="Q116" s="134" t="str">
        <f t="shared" si="142"/>
        <v>*</v>
      </c>
      <c r="R116" s="193" t="s">
        <v>183</v>
      </c>
      <c r="S116" s="134" t="s">
        <v>185</v>
      </c>
    </row>
    <row r="117" spans="1:21" s="134" customFormat="1" ht="14.1" hidden="1" customHeight="1" x14ac:dyDescent="0.25">
      <c r="A117" s="125"/>
      <c r="B117" s="28" t="s">
        <v>210</v>
      </c>
      <c r="C117" s="123"/>
      <c r="D117" s="123"/>
      <c r="E117" s="127"/>
      <c r="F117" s="60"/>
      <c r="G117" s="127"/>
      <c r="H117" s="60">
        <f>(F117)+G117</f>
        <v>0</v>
      </c>
      <c r="I117" s="135">
        <f t="shared" ref="I117" si="153">IF(J117="Y",H117*$I$5," ")</f>
        <v>0</v>
      </c>
      <c r="J117" s="125" t="s">
        <v>182</v>
      </c>
      <c r="K117" s="135">
        <f t="shared" si="134"/>
        <v>0</v>
      </c>
      <c r="L117" s="14"/>
      <c r="M117" s="135" t="s">
        <v>182</v>
      </c>
      <c r="N117" s="135">
        <f t="shared" si="135"/>
        <v>0</v>
      </c>
      <c r="O117" s="135">
        <f>IF(H117&gt;7000,7000*$N$5,H117*$N$5)*50%</f>
        <v>0</v>
      </c>
      <c r="P117" s="13">
        <f t="shared" ref="P117" si="154">SUM(K117:O117,H117:I117)</f>
        <v>0</v>
      </c>
      <c r="Q117" s="134" t="str">
        <f t="shared" si="142"/>
        <v/>
      </c>
      <c r="R117" s="193" t="s">
        <v>183</v>
      </c>
    </row>
    <row r="118" spans="1:21" ht="14.1" customHeight="1" x14ac:dyDescent="0.25">
      <c r="A118" s="125"/>
      <c r="B118" s="29" t="s">
        <v>212</v>
      </c>
      <c r="C118" s="30" t="s">
        <v>213</v>
      </c>
      <c r="D118" s="40"/>
      <c r="E118" s="21">
        <f>SUM(E109:E115)</f>
        <v>0</v>
      </c>
      <c r="F118" s="61">
        <f t="shared" ref="F118:G118" si="155">SUM(F107:F117)</f>
        <v>283366.66666666663</v>
      </c>
      <c r="G118" s="61">
        <f t="shared" si="155"/>
        <v>0</v>
      </c>
      <c r="H118" s="61">
        <f>SUM(H107:H117)</f>
        <v>283366.66666666663</v>
      </c>
      <c r="I118" s="61">
        <f t="shared" ref="I118:O118" si="156">SUM(I107:I117)</f>
        <v>33748.97</v>
      </c>
      <c r="J118" s="61">
        <f t="shared" si="156"/>
        <v>0</v>
      </c>
      <c r="K118" s="61">
        <f t="shared" si="156"/>
        <v>21677.55</v>
      </c>
      <c r="L118" s="61">
        <f t="shared" si="156"/>
        <v>10872</v>
      </c>
      <c r="M118" s="61">
        <f t="shared" si="156"/>
        <v>0</v>
      </c>
      <c r="N118" s="61">
        <f t="shared" si="156"/>
        <v>1218.4766666666665</v>
      </c>
      <c r="O118" s="61">
        <f t="shared" si="156"/>
        <v>98</v>
      </c>
      <c r="P118" s="61">
        <f>SUM(P107:P117)</f>
        <v>350981.66333333333</v>
      </c>
      <c r="Q118" s="134" t="str">
        <f t="shared" si="142"/>
        <v>*</v>
      </c>
      <c r="S118" s="134"/>
      <c r="T118" s="134"/>
      <c r="U118" s="134"/>
    </row>
    <row r="119" spans="1:21" ht="14.1" customHeight="1" x14ac:dyDescent="0.25">
      <c r="A119" s="125"/>
      <c r="B119" s="43"/>
      <c r="E119" s="14"/>
      <c r="F119" s="60"/>
      <c r="G119" s="14"/>
      <c r="H119" s="62"/>
      <c r="I119" s="13"/>
      <c r="J119" s="134"/>
      <c r="K119" s="134"/>
      <c r="M119" s="134"/>
      <c r="N119" s="134"/>
      <c r="O119" s="134"/>
      <c r="P119" s="134"/>
      <c r="Q119" s="134" t="str">
        <f>+Q135</f>
        <v>*</v>
      </c>
      <c r="S119" s="134"/>
      <c r="T119" s="134"/>
      <c r="U119" s="134"/>
    </row>
    <row r="120" spans="1:21" ht="14.1" customHeight="1" x14ac:dyDescent="0.25">
      <c r="A120" s="125"/>
      <c r="B120" s="28" t="s">
        <v>214</v>
      </c>
      <c r="C120" s="149" t="s">
        <v>13</v>
      </c>
      <c r="D120" s="149"/>
      <c r="E120" s="127"/>
      <c r="F120" s="60"/>
      <c r="G120" s="127"/>
      <c r="H120" s="60"/>
      <c r="I120" s="135"/>
      <c r="J120" s="125"/>
      <c r="K120" s="135"/>
      <c r="L120" s="14"/>
      <c r="M120" s="135"/>
      <c r="N120" s="135"/>
      <c r="O120" s="135"/>
      <c r="P120" s="13"/>
      <c r="Q120" s="134" t="s">
        <v>2</v>
      </c>
      <c r="S120" s="134"/>
      <c r="T120" s="134"/>
      <c r="U120" s="134"/>
    </row>
    <row r="121" spans="1:21" s="134" customFormat="1" ht="14.1" customHeight="1" x14ac:dyDescent="0.3">
      <c r="A121" s="125"/>
      <c r="B121" s="28" t="s">
        <v>214</v>
      </c>
      <c r="C121" s="123" t="s">
        <v>356</v>
      </c>
      <c r="D121" s="123"/>
      <c r="E121" s="247"/>
      <c r="F121" s="60">
        <f>25920*60%</f>
        <v>15552</v>
      </c>
      <c r="G121" s="60"/>
      <c r="H121" s="60">
        <f t="shared" ref="H121:H124" si="157">(F121)+G121</f>
        <v>15552</v>
      </c>
      <c r="I121" s="135">
        <f t="shared" ref="I121" si="158">IF(J121="Y",H121*$I$5," ")</f>
        <v>1852.2431999999999</v>
      </c>
      <c r="J121" s="125" t="s">
        <v>182</v>
      </c>
      <c r="K121" s="135">
        <f t="shared" ref="K121:K125" si="159">+$H121*$K$5</f>
        <v>1189.7280000000001</v>
      </c>
      <c r="L121" s="14" t="str">
        <f>IF(M121="Y",3624," ")</f>
        <v xml:space="preserve"> </v>
      </c>
      <c r="M121" s="135" t="s">
        <v>188</v>
      </c>
      <c r="N121" s="135">
        <f t="shared" ref="N121:N134" si="160">+$H121*$L$5</f>
        <v>66.873599999999996</v>
      </c>
      <c r="O121" s="135">
        <f>IF(H121&gt;7000,7000*$N$5,H121*$N$5)*60%</f>
        <v>12.6</v>
      </c>
      <c r="P121" s="13">
        <f t="shared" ref="P121" si="161">SUM(K121:O121,H121:I121)</f>
        <v>18673.444800000001</v>
      </c>
      <c r="Q121" s="134" t="str">
        <f t="shared" ref="Q121" si="162">IF(P121&gt;0.49,"*","")</f>
        <v>*</v>
      </c>
      <c r="R121" s="193" t="s">
        <v>183</v>
      </c>
      <c r="S121" s="134" t="s">
        <v>185</v>
      </c>
    </row>
    <row r="122" spans="1:21" s="134" customFormat="1" ht="14.1" customHeight="1" x14ac:dyDescent="0.3">
      <c r="A122" s="125"/>
      <c r="B122" s="28" t="s">
        <v>214</v>
      </c>
      <c r="C122" s="123" t="s">
        <v>357</v>
      </c>
      <c r="D122" s="123"/>
      <c r="E122" s="247"/>
      <c r="F122" s="60">
        <f>23400*60%</f>
        <v>14040</v>
      </c>
      <c r="G122" s="60"/>
      <c r="H122" s="60">
        <f t="shared" si="157"/>
        <v>14040</v>
      </c>
      <c r="I122" s="135">
        <f t="shared" ref="I122:I123" si="163">IF(J122="Y",H122*$I$5," ")</f>
        <v>1672.164</v>
      </c>
      <c r="J122" s="125" t="s">
        <v>182</v>
      </c>
      <c r="K122" s="135">
        <f t="shared" si="159"/>
        <v>1074.06</v>
      </c>
      <c r="L122" s="14" t="str">
        <f>IF(M122="Y",3624," ")</f>
        <v xml:space="preserve"> </v>
      </c>
      <c r="M122" s="135" t="s">
        <v>188</v>
      </c>
      <c r="N122" s="135">
        <f t="shared" si="160"/>
        <v>60.372</v>
      </c>
      <c r="O122" s="135">
        <f>IF(H122&gt;7000,7000*$N$5,H122*$N$5)*60%</f>
        <v>12.6</v>
      </c>
      <c r="P122" s="13">
        <f t="shared" ref="P122:P123" si="164">SUM(K122:O122,H122:I122)</f>
        <v>16859.196</v>
      </c>
      <c r="Q122" s="134" t="str">
        <f t="shared" ref="Q122:Q123" si="165">IF(P122&gt;0.49,"*","")</f>
        <v>*</v>
      </c>
      <c r="R122" s="193" t="s">
        <v>183</v>
      </c>
      <c r="S122" s="134" t="s">
        <v>185</v>
      </c>
    </row>
    <row r="123" spans="1:21" s="134" customFormat="1" ht="14.1" customHeight="1" x14ac:dyDescent="0.3">
      <c r="A123" s="125"/>
      <c r="B123" s="28" t="s">
        <v>214</v>
      </c>
      <c r="C123" s="123" t="s">
        <v>358</v>
      </c>
      <c r="D123" s="123"/>
      <c r="E123" s="247"/>
      <c r="F123" s="60">
        <f>35700*60%*PRInf</f>
        <v>21848.400000000001</v>
      </c>
      <c r="G123" s="60"/>
      <c r="H123" s="60">
        <f t="shared" si="157"/>
        <v>21848.400000000001</v>
      </c>
      <c r="I123" s="135">
        <f t="shared" si="163"/>
        <v>2602.14444</v>
      </c>
      <c r="J123" s="125" t="s">
        <v>182</v>
      </c>
      <c r="K123" s="135">
        <f t="shared" si="159"/>
        <v>1671.4026000000001</v>
      </c>
      <c r="L123" s="14">
        <f>IF(M123="Y",3624," ")*60%</f>
        <v>2174.4</v>
      </c>
      <c r="M123" s="135" t="s">
        <v>182</v>
      </c>
      <c r="N123" s="135">
        <f t="shared" si="160"/>
        <v>93.948120000000003</v>
      </c>
      <c r="O123" s="135">
        <f>IF(H123&gt;7000,7000*$N$5,H123*$N$5)*60%</f>
        <v>12.6</v>
      </c>
      <c r="P123" s="13">
        <f t="shared" si="164"/>
        <v>28402.89516</v>
      </c>
      <c r="Q123" s="134" t="str">
        <f t="shared" si="165"/>
        <v>*</v>
      </c>
      <c r="R123" s="193" t="s">
        <v>183</v>
      </c>
    </row>
    <row r="124" spans="1:21" s="134" customFormat="1" ht="14.1" customHeight="1" x14ac:dyDescent="0.3">
      <c r="A124" s="125"/>
      <c r="B124" s="28" t="s">
        <v>214</v>
      </c>
      <c r="C124" s="123" t="s">
        <v>343</v>
      </c>
      <c r="D124" s="123"/>
      <c r="E124" s="247"/>
      <c r="F124" s="60">
        <f>46000.32*1/3*PRInf</f>
        <v>15640.1088</v>
      </c>
      <c r="G124" s="60"/>
      <c r="H124" s="60">
        <f t="shared" si="157"/>
        <v>15640.1088</v>
      </c>
      <c r="I124" s="135">
        <f t="shared" ref="I124:I126" si="166">IF(J124="Y",H124*$I$5," ")</f>
        <v>1862.73695808</v>
      </c>
      <c r="J124" s="125" t="s">
        <v>182</v>
      </c>
      <c r="K124" s="135">
        <f t="shared" si="159"/>
        <v>1196.4683232</v>
      </c>
      <c r="L124" s="14" t="str">
        <f>IF(M124="Y",3624," ")</f>
        <v xml:space="preserve"> </v>
      </c>
      <c r="M124" s="135" t="s">
        <v>188</v>
      </c>
      <c r="N124" s="135">
        <f t="shared" si="160"/>
        <v>67.252467839999994</v>
      </c>
      <c r="O124" s="135">
        <f>IF(H124&gt;7000,7000*$N$5,H124*$N$5)*1/3</f>
        <v>7</v>
      </c>
      <c r="P124" s="13">
        <f t="shared" ref="P124" si="167">SUM(K124:O124,H124:I124)</f>
        <v>18773.566549120002</v>
      </c>
      <c r="Q124" s="134" t="str">
        <f t="shared" ref="Q124" si="168">IF(P124&gt;0.49,"*","")</f>
        <v>*</v>
      </c>
      <c r="R124" s="193" t="s">
        <v>183</v>
      </c>
    </row>
    <row r="125" spans="1:21" ht="14.1" customHeight="1" x14ac:dyDescent="0.3">
      <c r="A125" s="125"/>
      <c r="B125" s="28" t="s">
        <v>214</v>
      </c>
      <c r="C125" s="123" t="s">
        <v>359</v>
      </c>
      <c r="E125" s="247"/>
      <c r="F125" s="60">
        <f>30000*60%</f>
        <v>18000</v>
      </c>
      <c r="G125" s="127"/>
      <c r="H125" s="60">
        <f t="shared" ref="H125:H126" si="169">(F125)+G125</f>
        <v>18000</v>
      </c>
      <c r="I125" s="135">
        <f t="shared" ref="I125" si="170">IF(J125="Y",H125*$I$5," ")</f>
        <v>2143.8000000000002</v>
      </c>
      <c r="J125" s="125" t="s">
        <v>182</v>
      </c>
      <c r="K125" s="135">
        <f t="shared" si="159"/>
        <v>1377</v>
      </c>
      <c r="L125" s="14">
        <f>IF(M125="Y",3624," ")*60%</f>
        <v>2174.4</v>
      </c>
      <c r="M125" s="135" t="s">
        <v>182</v>
      </c>
      <c r="N125" s="135">
        <f>+$H125*$L$5</f>
        <v>77.400000000000006</v>
      </c>
      <c r="O125" s="135">
        <f>IF(H125&gt;7000,7000*$N$5,H125*$N$5)*60%</f>
        <v>12.6</v>
      </c>
      <c r="P125" s="13">
        <f t="shared" ref="P125" si="171">SUM(K125:O125,H125:I125)</f>
        <v>23785.200000000001</v>
      </c>
      <c r="Q125" s="134" t="str">
        <f>IF(P125&gt;0.49,"*","")</f>
        <v>*</v>
      </c>
      <c r="R125" s="193" t="s">
        <v>183</v>
      </c>
      <c r="S125" s="134" t="s">
        <v>185</v>
      </c>
    </row>
    <row r="126" spans="1:21" ht="14.1" customHeight="1" x14ac:dyDescent="0.3">
      <c r="A126" s="125"/>
      <c r="B126" s="28" t="s">
        <v>214</v>
      </c>
      <c r="C126" s="123" t="s">
        <v>386</v>
      </c>
      <c r="D126" s="123"/>
      <c r="E126" s="247"/>
      <c r="F126" s="60">
        <f>37142*60%*PRInf</f>
        <v>22730.904000000002</v>
      </c>
      <c r="G126" s="60"/>
      <c r="H126" s="60">
        <f t="shared" si="169"/>
        <v>22730.904000000002</v>
      </c>
      <c r="I126" s="135">
        <f t="shared" si="166"/>
        <v>2707.2506664000002</v>
      </c>
      <c r="J126" s="125" t="s">
        <v>182</v>
      </c>
      <c r="K126" s="135">
        <f t="shared" ref="K126:K134" si="172">+$H126*$K$5</f>
        <v>1738.914156</v>
      </c>
      <c r="L126" s="14">
        <f>IF(M126="Y",3624," ")*60%</f>
        <v>2174.4</v>
      </c>
      <c r="M126" s="135" t="s">
        <v>182</v>
      </c>
      <c r="N126" s="135">
        <f t="shared" si="160"/>
        <v>97.742887200000013</v>
      </c>
      <c r="O126" s="135">
        <f>IF(H126&gt;7000,7000*$N$5,H126*$N$5)*60%</f>
        <v>12.6</v>
      </c>
      <c r="P126" s="13">
        <f t="shared" ref="P126:P130" si="173">SUM(K126:O126,H126:I126)</f>
        <v>29461.811709600002</v>
      </c>
      <c r="Q126" s="134" t="str">
        <f t="shared" ref="Q126:Q127" si="174">IF(P126&gt;0.49,"*","")</f>
        <v>*</v>
      </c>
      <c r="R126" s="193" t="s">
        <v>183</v>
      </c>
      <c r="S126" s="134"/>
    </row>
    <row r="127" spans="1:21" ht="14.1" hidden="1" customHeight="1" x14ac:dyDescent="0.25">
      <c r="A127" s="125"/>
      <c r="B127" s="28" t="s">
        <v>214</v>
      </c>
      <c r="C127" s="123"/>
      <c r="D127" s="123"/>
      <c r="E127" s="127"/>
      <c r="F127" s="60"/>
      <c r="G127" s="127"/>
      <c r="H127" s="60">
        <f t="shared" ref="H127" si="175">(F127)+G127</f>
        <v>0</v>
      </c>
      <c r="I127" s="135">
        <f t="shared" ref="I127" si="176">IF(J127="Y",H127*$I$5," ")</f>
        <v>0</v>
      </c>
      <c r="J127" s="125" t="s">
        <v>182</v>
      </c>
      <c r="K127" s="135">
        <f t="shared" si="172"/>
        <v>0</v>
      </c>
      <c r="L127" s="14"/>
      <c r="M127" s="135" t="s">
        <v>188</v>
      </c>
      <c r="N127" s="135">
        <f t="shared" si="160"/>
        <v>0</v>
      </c>
      <c r="O127" s="135">
        <f>IF(H127&gt;7000,7000*$N$5,H127*$N$5)*60%</f>
        <v>0</v>
      </c>
      <c r="P127" s="13">
        <f t="shared" ref="P127" si="177">SUM(K127:O127,H127:I127)</f>
        <v>0</v>
      </c>
      <c r="Q127" s="134" t="str">
        <f t="shared" si="174"/>
        <v/>
      </c>
      <c r="R127" s="134"/>
      <c r="S127" s="134"/>
    </row>
    <row r="128" spans="1:21" ht="14.1" customHeight="1" x14ac:dyDescent="0.25">
      <c r="A128" s="125"/>
      <c r="B128" s="28" t="s">
        <v>214</v>
      </c>
      <c r="C128" s="149" t="s">
        <v>14</v>
      </c>
      <c r="D128" s="149"/>
      <c r="E128" s="127"/>
      <c r="F128" s="60"/>
      <c r="G128" s="127"/>
      <c r="H128" s="60"/>
      <c r="I128" s="135"/>
      <c r="J128" s="125"/>
      <c r="K128" s="135"/>
      <c r="L128" s="14"/>
      <c r="M128" s="135"/>
      <c r="N128" s="135"/>
      <c r="O128" s="135"/>
      <c r="P128" s="13"/>
      <c r="Q128" s="134" t="s">
        <v>2</v>
      </c>
      <c r="S128" s="134"/>
    </row>
    <row r="129" spans="1:19" s="34" customFormat="1" ht="14.1" customHeight="1" x14ac:dyDescent="0.3">
      <c r="A129" s="161"/>
      <c r="B129" s="28" t="s">
        <v>214</v>
      </c>
      <c r="C129" s="123" t="s">
        <v>360</v>
      </c>
      <c r="E129" s="247"/>
      <c r="F129" s="60">
        <f>25920*40%</f>
        <v>10368</v>
      </c>
      <c r="G129" s="127"/>
      <c r="H129" s="60">
        <f t="shared" ref="H129:H132" si="178">(F129)+G129</f>
        <v>10368</v>
      </c>
      <c r="I129" s="14">
        <f t="shared" ref="I129" si="179">IF(J129="Y",H129*$I$5," ")</f>
        <v>1234.8288</v>
      </c>
      <c r="J129" s="161" t="s">
        <v>182</v>
      </c>
      <c r="K129" s="14">
        <f t="shared" ref="K129" si="180">+$H129*$K$5</f>
        <v>793.15199999999993</v>
      </c>
      <c r="L129" s="14" t="str">
        <f>IF(M129="Y",3624," ")</f>
        <v xml:space="preserve"> </v>
      </c>
      <c r="M129" s="14" t="s">
        <v>188</v>
      </c>
      <c r="N129" s="14">
        <f>+$H129*$L$5</f>
        <v>44.5824</v>
      </c>
      <c r="O129" s="135">
        <f>IF(H129&gt;7000,7000*$N$5,H129*$N$5)*40%</f>
        <v>8.4</v>
      </c>
      <c r="P129" s="101">
        <f t="shared" ref="P129" si="181">SUM(K129:O129,H129:I129)</f>
        <v>12448.963199999998</v>
      </c>
      <c r="Q129" s="34" t="str">
        <f>IF(P129&gt;0.49,"*","")</f>
        <v>*</v>
      </c>
      <c r="R129" s="194" t="s">
        <v>183</v>
      </c>
      <c r="S129" s="134" t="s">
        <v>185</v>
      </c>
    </row>
    <row r="130" spans="1:19" ht="14.1" customHeight="1" x14ac:dyDescent="0.3">
      <c r="A130" s="125"/>
      <c r="B130" s="28" t="s">
        <v>214</v>
      </c>
      <c r="C130" s="123" t="s">
        <v>361</v>
      </c>
      <c r="D130" s="123"/>
      <c r="E130" s="247"/>
      <c r="F130" s="60">
        <f>23400*40%</f>
        <v>9360</v>
      </c>
      <c r="G130" s="60"/>
      <c r="H130" s="60">
        <f t="shared" si="178"/>
        <v>9360</v>
      </c>
      <c r="I130" s="135">
        <f t="shared" ref="I130:I132" si="182">IF(J130="Y",H130*$I$5," ")</f>
        <v>1114.7760000000001</v>
      </c>
      <c r="J130" s="125" t="s">
        <v>182</v>
      </c>
      <c r="K130" s="135">
        <f t="shared" si="172"/>
        <v>716.04</v>
      </c>
      <c r="L130" s="14" t="str">
        <f>IF(M130="Y",3624," ")</f>
        <v xml:space="preserve"> </v>
      </c>
      <c r="M130" s="135" t="s">
        <v>188</v>
      </c>
      <c r="N130" s="135">
        <f t="shared" si="160"/>
        <v>40.247999999999998</v>
      </c>
      <c r="O130" s="135">
        <f>IF(H130&gt;7000,7000*$N$5,H130*$N$5)*40%</f>
        <v>8.4</v>
      </c>
      <c r="P130" s="13">
        <f t="shared" si="173"/>
        <v>11239.464</v>
      </c>
      <c r="Q130" s="134" t="str">
        <f t="shared" ref="Q130:Q135" si="183">IF(P130&gt;0.49,"*","")</f>
        <v>*</v>
      </c>
      <c r="R130" s="193" t="s">
        <v>183</v>
      </c>
      <c r="S130" s="134" t="s">
        <v>185</v>
      </c>
    </row>
    <row r="131" spans="1:19" s="134" customFormat="1" ht="14.1" customHeight="1" x14ac:dyDescent="0.3">
      <c r="A131" s="125"/>
      <c r="B131" s="28" t="s">
        <v>214</v>
      </c>
      <c r="C131" s="123" t="s">
        <v>362</v>
      </c>
      <c r="D131" s="123"/>
      <c r="E131" s="247"/>
      <c r="F131" s="60">
        <f>35700*40%*PRInf</f>
        <v>14565.6</v>
      </c>
      <c r="G131" s="60"/>
      <c r="H131" s="60">
        <f t="shared" si="178"/>
        <v>14565.6</v>
      </c>
      <c r="I131" s="135">
        <f t="shared" ref="I131" si="184">IF(J131="Y",H131*$I$5," ")</f>
        <v>1734.76296</v>
      </c>
      <c r="J131" s="125" t="s">
        <v>182</v>
      </c>
      <c r="K131" s="135">
        <f t="shared" si="172"/>
        <v>1114.2683999999999</v>
      </c>
      <c r="L131" s="14">
        <f>IF(M131="Y",3624," ")*40%</f>
        <v>1449.6000000000001</v>
      </c>
      <c r="M131" s="135" t="s">
        <v>182</v>
      </c>
      <c r="N131" s="135">
        <f t="shared" si="160"/>
        <v>62.632080000000002</v>
      </c>
      <c r="O131" s="135">
        <f>IF(H131&gt;7000,7000*$N$5,H131*$N$5)*40%</f>
        <v>8.4</v>
      </c>
      <c r="P131" s="13">
        <f t="shared" ref="P131" si="185">SUM(K131:O131,H131:I131)</f>
        <v>18935.263440000002</v>
      </c>
      <c r="Q131" s="134" t="str">
        <f t="shared" si="183"/>
        <v>*</v>
      </c>
      <c r="R131" s="193" t="s">
        <v>183</v>
      </c>
    </row>
    <row r="132" spans="1:19" s="134" customFormat="1" ht="14.1" customHeight="1" x14ac:dyDescent="0.3">
      <c r="A132" s="125"/>
      <c r="B132" s="28" t="s">
        <v>214</v>
      </c>
      <c r="C132" s="123" t="s">
        <v>344</v>
      </c>
      <c r="D132" s="123"/>
      <c r="E132" s="247"/>
      <c r="F132" s="60">
        <f>46000.32*1/3*PRInf</f>
        <v>15640.1088</v>
      </c>
      <c r="G132" s="60"/>
      <c r="H132" s="60">
        <f t="shared" si="178"/>
        <v>15640.1088</v>
      </c>
      <c r="I132" s="135">
        <f t="shared" si="182"/>
        <v>1862.73695808</v>
      </c>
      <c r="J132" s="125" t="s">
        <v>182</v>
      </c>
      <c r="K132" s="135">
        <f t="shared" si="172"/>
        <v>1196.4683232</v>
      </c>
      <c r="L132" s="14" t="str">
        <f>IF(M132="Y",3624," ")</f>
        <v xml:space="preserve"> </v>
      </c>
      <c r="M132" s="135" t="s">
        <v>188</v>
      </c>
      <c r="N132" s="135">
        <f t="shared" si="160"/>
        <v>67.252467839999994</v>
      </c>
      <c r="O132" s="135">
        <f>IF(H132&gt;7000,7000*$N$5,H132*$N$5)*1/3</f>
        <v>7</v>
      </c>
      <c r="P132" s="13">
        <f t="shared" ref="P132" si="186">SUM(K132:O132,H132:I132)</f>
        <v>18773.566549120002</v>
      </c>
      <c r="Q132" s="134" t="str">
        <f t="shared" si="183"/>
        <v>*</v>
      </c>
      <c r="R132" s="193" t="s">
        <v>183</v>
      </c>
    </row>
    <row r="133" spans="1:19" s="134" customFormat="1" ht="14.1" customHeight="1" x14ac:dyDescent="0.3">
      <c r="A133" s="125"/>
      <c r="B133" s="28" t="s">
        <v>214</v>
      </c>
      <c r="C133" s="123" t="s">
        <v>363</v>
      </c>
      <c r="D133" s="34"/>
      <c r="E133" s="247"/>
      <c r="F133" s="60">
        <f>30000*40%</f>
        <v>12000</v>
      </c>
      <c r="G133" s="101"/>
      <c r="H133" s="60">
        <f t="shared" ref="H133:H134" si="187">(F133)+G133</f>
        <v>12000</v>
      </c>
      <c r="I133" s="135">
        <f t="shared" ref="I133:I134" si="188">IF(J133="Y",H133*$I$5," ")</f>
        <v>1429.2</v>
      </c>
      <c r="J133" s="125" t="s">
        <v>182</v>
      </c>
      <c r="K133" s="135">
        <f t="shared" si="172"/>
        <v>918</v>
      </c>
      <c r="L133" s="14">
        <f>IF(M133="Y",3624," ")*40%</f>
        <v>1449.6000000000001</v>
      </c>
      <c r="M133" s="135" t="s">
        <v>182</v>
      </c>
      <c r="N133" s="135">
        <f t="shared" si="160"/>
        <v>51.6</v>
      </c>
      <c r="O133" s="135">
        <f>IF(H133&gt;7000,7000*$N$5,H133*$N$5)*40%</f>
        <v>8.4</v>
      </c>
      <c r="P133" s="13">
        <f t="shared" ref="P133:P134" si="189">SUM(K133:O133,H133:I133)</f>
        <v>15856.800000000001</v>
      </c>
      <c r="Q133" s="134" t="str">
        <f t="shared" si="183"/>
        <v>*</v>
      </c>
      <c r="R133" s="193" t="s">
        <v>183</v>
      </c>
      <c r="S133" s="134" t="s">
        <v>185</v>
      </c>
    </row>
    <row r="134" spans="1:19" s="134" customFormat="1" ht="14.1" customHeight="1" x14ac:dyDescent="0.3">
      <c r="A134" s="125"/>
      <c r="B134" s="28" t="s">
        <v>214</v>
      </c>
      <c r="C134" s="123" t="s">
        <v>387</v>
      </c>
      <c r="D134" s="123"/>
      <c r="E134" s="247"/>
      <c r="F134" s="60">
        <f>37142*40%*PRInf</f>
        <v>15153.936000000002</v>
      </c>
      <c r="G134" s="60"/>
      <c r="H134" s="60">
        <f t="shared" si="187"/>
        <v>15153.936000000002</v>
      </c>
      <c r="I134" s="135">
        <f t="shared" si="188"/>
        <v>1804.8337776000001</v>
      </c>
      <c r="J134" s="125" t="s">
        <v>182</v>
      </c>
      <c r="K134" s="135">
        <f t="shared" si="172"/>
        <v>1159.276104</v>
      </c>
      <c r="L134" s="14">
        <f>IF(M134="Y",3624," ")*40%</f>
        <v>1449.6000000000001</v>
      </c>
      <c r="M134" s="135" t="s">
        <v>182</v>
      </c>
      <c r="N134" s="135">
        <f t="shared" si="160"/>
        <v>65.161924800000008</v>
      </c>
      <c r="O134" s="135">
        <f>IF(H134&gt;7000,7000*$N$5,H134*$N$5)*40%</f>
        <v>8.4</v>
      </c>
      <c r="P134" s="13">
        <f t="shared" si="189"/>
        <v>19641.207806400002</v>
      </c>
      <c r="Q134" s="134" t="str">
        <f t="shared" si="183"/>
        <v>*</v>
      </c>
      <c r="R134" s="193" t="s">
        <v>183</v>
      </c>
    </row>
    <row r="135" spans="1:19" ht="14.1" customHeight="1" x14ac:dyDescent="0.25">
      <c r="A135" s="125"/>
      <c r="B135" s="29" t="s">
        <v>215</v>
      </c>
      <c r="C135" s="30" t="s">
        <v>76</v>
      </c>
      <c r="D135" s="40"/>
      <c r="E135" s="21">
        <f t="shared" ref="E135:P135" si="190">SUM(E120:E134)</f>
        <v>0</v>
      </c>
      <c r="F135" s="61">
        <f t="shared" si="190"/>
        <v>184899.0576</v>
      </c>
      <c r="G135" s="61">
        <f t="shared" si="190"/>
        <v>0</v>
      </c>
      <c r="H135" s="61">
        <f t="shared" si="190"/>
        <v>184899.0576</v>
      </c>
      <c r="I135" s="61">
        <f t="shared" si="190"/>
        <v>22021.47776016</v>
      </c>
      <c r="J135" s="61">
        <f t="shared" si="190"/>
        <v>0</v>
      </c>
      <c r="K135" s="61">
        <f t="shared" si="190"/>
        <v>14144.777906400001</v>
      </c>
      <c r="L135" s="61">
        <f t="shared" si="190"/>
        <v>10872.000000000002</v>
      </c>
      <c r="M135" s="61">
        <f t="shared" si="190"/>
        <v>0</v>
      </c>
      <c r="N135" s="61">
        <f t="shared" si="190"/>
        <v>795.06594768000014</v>
      </c>
      <c r="O135" s="61">
        <f t="shared" si="190"/>
        <v>119.00000000000003</v>
      </c>
      <c r="P135" s="61">
        <f t="shared" si="190"/>
        <v>232851.37921424001</v>
      </c>
      <c r="Q135" s="134" t="str">
        <f t="shared" si="183"/>
        <v>*</v>
      </c>
    </row>
    <row r="136" spans="1:19" ht="14.1" customHeight="1" x14ac:dyDescent="0.25">
      <c r="A136" s="125"/>
      <c r="B136" s="43"/>
      <c r="E136" s="97"/>
      <c r="F136" s="60"/>
      <c r="G136" s="14"/>
      <c r="H136" s="62"/>
      <c r="I136" s="13"/>
      <c r="J136" s="134"/>
      <c r="K136" s="134"/>
      <c r="M136" s="134"/>
      <c r="N136" s="134"/>
      <c r="O136" s="134"/>
      <c r="P136" s="134"/>
      <c r="Q136" s="134" t="str">
        <f>+Q144</f>
        <v>*</v>
      </c>
      <c r="R136" s="134"/>
    </row>
    <row r="137" spans="1:19" ht="13.2" x14ac:dyDescent="0.25">
      <c r="A137" s="125"/>
      <c r="B137" s="28" t="s">
        <v>216</v>
      </c>
      <c r="C137" s="123" t="s">
        <v>217</v>
      </c>
      <c r="D137" s="123"/>
      <c r="E137" s="96">
        <v>15</v>
      </c>
      <c r="F137" s="60">
        <f>+E137*20*55</f>
        <v>16500</v>
      </c>
      <c r="G137" s="60"/>
      <c r="H137" s="60">
        <f t="shared" ref="H137:H143" si="191">(F137)+G137</f>
        <v>16500</v>
      </c>
      <c r="I137" s="135">
        <f t="shared" ref="I137:I141" si="192">IF(J137="Y",H137*$I$5," ")</f>
        <v>1965.1499999999999</v>
      </c>
      <c r="J137" s="125" t="s">
        <v>182</v>
      </c>
      <c r="K137" s="135">
        <f t="shared" ref="K137:K143" si="193">+$H137*$K$5</f>
        <v>1262.25</v>
      </c>
      <c r="L137" s="14" t="str">
        <f t="shared" ref="L137:L143" si="194">IF(M137="Y",3624," ")</f>
        <v xml:space="preserve"> </v>
      </c>
      <c r="M137" s="135" t="s">
        <v>188</v>
      </c>
      <c r="N137" s="135">
        <f t="shared" ref="N137:N143" si="195">+$H137*$L$5</f>
        <v>70.95</v>
      </c>
      <c r="O137" s="135">
        <f t="shared" ref="O137:O139" si="196">IF(H137&gt;7000,7000*$N$5,H137*$N$5)</f>
        <v>21</v>
      </c>
      <c r="P137" s="13">
        <f t="shared" ref="P137:P138" si="197">SUM(K137:O137,H137:I137)</f>
        <v>19819.350000000002</v>
      </c>
      <c r="Q137" s="134" t="str">
        <f t="shared" ref="Q137" si="198">IF(P137&gt;0.49,"*","")</f>
        <v>*</v>
      </c>
      <c r="R137" s="194" t="s">
        <v>390</v>
      </c>
      <c r="S137" s="134" t="s">
        <v>185</v>
      </c>
    </row>
    <row r="138" spans="1:19" ht="13.2" x14ac:dyDescent="0.25">
      <c r="A138" s="125"/>
      <c r="B138" s="28" t="s">
        <v>216</v>
      </c>
      <c r="C138" s="123" t="s">
        <v>218</v>
      </c>
      <c r="D138" s="123"/>
      <c r="E138" s="96">
        <v>15</v>
      </c>
      <c r="F138" s="60">
        <f>+E138*20*55</f>
        <v>16500</v>
      </c>
      <c r="G138" s="60"/>
      <c r="H138" s="60">
        <f t="shared" si="191"/>
        <v>16500</v>
      </c>
      <c r="I138" s="135">
        <f t="shared" si="192"/>
        <v>1965.1499999999999</v>
      </c>
      <c r="J138" s="125" t="s">
        <v>182</v>
      </c>
      <c r="K138" s="135">
        <f t="shared" si="193"/>
        <v>1262.25</v>
      </c>
      <c r="L138" s="14">
        <f t="shared" si="194"/>
        <v>3624</v>
      </c>
      <c r="M138" s="135" t="s">
        <v>182</v>
      </c>
      <c r="N138" s="135">
        <f t="shared" si="195"/>
        <v>70.95</v>
      </c>
      <c r="O138" s="135">
        <f t="shared" si="196"/>
        <v>21</v>
      </c>
      <c r="P138" s="13">
        <f t="shared" si="197"/>
        <v>23443.350000000002</v>
      </c>
      <c r="Q138" s="134" t="str">
        <f t="shared" ref="Q138:Q144" si="199">IF(P138&gt;0.49,"*","")</f>
        <v>*</v>
      </c>
      <c r="R138" s="194" t="s">
        <v>390</v>
      </c>
      <c r="S138" s="134" t="s">
        <v>185</v>
      </c>
    </row>
    <row r="139" spans="1:19" s="134" customFormat="1" ht="13.2" x14ac:dyDescent="0.25">
      <c r="A139" s="125"/>
      <c r="B139" s="28" t="s">
        <v>216</v>
      </c>
      <c r="C139" s="123" t="s">
        <v>219</v>
      </c>
      <c r="D139" s="123"/>
      <c r="E139" s="96"/>
      <c r="F139" s="60">
        <f>44000*PRInf</f>
        <v>44880</v>
      </c>
      <c r="G139" s="60"/>
      <c r="H139" s="60">
        <f t="shared" si="191"/>
        <v>44880</v>
      </c>
      <c r="I139" s="135">
        <f t="shared" si="192"/>
        <v>5345.2079999999996</v>
      </c>
      <c r="J139" s="125" t="s">
        <v>182</v>
      </c>
      <c r="K139" s="135">
        <f t="shared" si="193"/>
        <v>3433.3199999999997</v>
      </c>
      <c r="L139" s="14">
        <f t="shared" si="194"/>
        <v>3624</v>
      </c>
      <c r="M139" s="135" t="s">
        <v>182</v>
      </c>
      <c r="N139" s="135">
        <f t="shared" si="195"/>
        <v>192.98400000000001</v>
      </c>
      <c r="O139" s="135">
        <f t="shared" si="196"/>
        <v>21</v>
      </c>
      <c r="P139" s="13">
        <f t="shared" ref="P139" si="200">SUM(K139:O139,H139:I139)</f>
        <v>57496.512000000002</v>
      </c>
      <c r="Q139" s="134" t="str">
        <f t="shared" si="199"/>
        <v>*</v>
      </c>
      <c r="R139" s="193" t="s">
        <v>183</v>
      </c>
    </row>
    <row r="140" spans="1:19" s="134" customFormat="1" ht="14.1" customHeight="1" x14ac:dyDescent="0.25">
      <c r="A140" s="125"/>
      <c r="B140" s="28" t="s">
        <v>216</v>
      </c>
      <c r="C140" s="123" t="s">
        <v>385</v>
      </c>
      <c r="D140" s="235"/>
      <c r="E140" s="96">
        <v>15</v>
      </c>
      <c r="F140" s="60">
        <f>+E140*20*55</f>
        <v>16500</v>
      </c>
      <c r="G140" s="60"/>
      <c r="H140" s="60">
        <f>(F140)+G140</f>
        <v>16500</v>
      </c>
      <c r="I140" s="135">
        <f>IF(J140="Y",H140*$I$5," ")</f>
        <v>1965.1499999999999</v>
      </c>
      <c r="J140" s="125" t="s">
        <v>182</v>
      </c>
      <c r="K140" s="135">
        <f>+$H140*$K$5</f>
        <v>1262.25</v>
      </c>
      <c r="L140" s="14" t="str">
        <f t="shared" si="194"/>
        <v xml:space="preserve"> </v>
      </c>
      <c r="M140" s="135" t="s">
        <v>188</v>
      </c>
      <c r="N140" s="135">
        <f>+$H140*$L$5</f>
        <v>70.95</v>
      </c>
      <c r="O140" s="135">
        <f t="shared" ref="O140" si="201">IF(H140&gt;7000,7000*$N$5,H140*$N$5)</f>
        <v>21</v>
      </c>
      <c r="P140" s="13">
        <f>SUM(K140:O140,H140:I140)</f>
        <v>19819.350000000002</v>
      </c>
      <c r="Q140" s="134" t="str">
        <f>IF(P140&gt;0.49,"*","")</f>
        <v>*</v>
      </c>
      <c r="R140" s="194" t="s">
        <v>390</v>
      </c>
      <c r="S140" s="134" t="s">
        <v>185</v>
      </c>
    </row>
    <row r="141" spans="1:19" s="134" customFormat="1" ht="14.1" customHeight="1" x14ac:dyDescent="0.25">
      <c r="A141" s="125"/>
      <c r="B141" s="28" t="s">
        <v>216</v>
      </c>
      <c r="C141" s="123" t="s">
        <v>220</v>
      </c>
      <c r="D141" s="123"/>
      <c r="E141" s="96">
        <v>15</v>
      </c>
      <c r="F141" s="60">
        <f>+E141*20*55</f>
        <v>16500</v>
      </c>
      <c r="G141" s="60"/>
      <c r="H141" s="60">
        <f t="shared" si="191"/>
        <v>16500</v>
      </c>
      <c r="I141" s="135">
        <f t="shared" si="192"/>
        <v>1965.1499999999999</v>
      </c>
      <c r="J141" s="125" t="s">
        <v>182</v>
      </c>
      <c r="K141" s="135">
        <f t="shared" si="193"/>
        <v>1262.25</v>
      </c>
      <c r="L141" s="14" t="str">
        <f t="shared" si="194"/>
        <v xml:space="preserve"> </v>
      </c>
      <c r="M141" s="135" t="s">
        <v>188</v>
      </c>
      <c r="N141" s="135">
        <f t="shared" si="195"/>
        <v>70.95</v>
      </c>
      <c r="O141" s="135">
        <f t="shared" ref="O141" si="202">IF(H141&gt;7000,7000*$N$5,H141*$N$5)</f>
        <v>21</v>
      </c>
      <c r="P141" s="13">
        <f t="shared" ref="P141" si="203">SUM(K141:O141,H141:I141)</f>
        <v>19819.350000000002</v>
      </c>
      <c r="Q141" s="134" t="str">
        <f t="shared" ref="Q141" si="204">IF(P141&gt;0.49,"*","")</f>
        <v>*</v>
      </c>
      <c r="R141" s="194" t="s">
        <v>390</v>
      </c>
      <c r="S141" s="134" t="s">
        <v>185</v>
      </c>
    </row>
    <row r="142" spans="1:19" s="134" customFormat="1" ht="14.1" customHeight="1" x14ac:dyDescent="0.25">
      <c r="A142" s="125"/>
      <c r="B142" s="28" t="s">
        <v>216</v>
      </c>
      <c r="C142" s="123" t="s">
        <v>341</v>
      </c>
      <c r="D142" s="235"/>
      <c r="E142" s="96">
        <v>15</v>
      </c>
      <c r="F142" s="60">
        <f>+E142*20*55</f>
        <v>16500</v>
      </c>
      <c r="G142" s="60"/>
      <c r="H142" s="60">
        <f t="shared" si="191"/>
        <v>16500</v>
      </c>
      <c r="I142" s="135">
        <f t="shared" ref="I142:I143" si="205">IF(J142="Y",H142*$I$5," ")</f>
        <v>1965.1499999999999</v>
      </c>
      <c r="J142" s="125" t="s">
        <v>182</v>
      </c>
      <c r="K142" s="135">
        <f t="shared" si="193"/>
        <v>1262.25</v>
      </c>
      <c r="L142" s="14" t="str">
        <f t="shared" si="194"/>
        <v xml:space="preserve"> </v>
      </c>
      <c r="M142" s="135" t="s">
        <v>188</v>
      </c>
      <c r="N142" s="135">
        <f t="shared" si="195"/>
        <v>70.95</v>
      </c>
      <c r="O142" s="135">
        <f t="shared" ref="O142" si="206">IF(H142&gt;7000,7000*$N$5,H142*$N$5)</f>
        <v>21</v>
      </c>
      <c r="P142" s="13">
        <f t="shared" ref="P142:P143" si="207">SUM(K142:O142,H142:I142)</f>
        <v>19819.350000000002</v>
      </c>
      <c r="Q142" s="134" t="str">
        <f t="shared" ref="Q142" si="208">IF(P142&gt;0.49,"*","")</f>
        <v>*</v>
      </c>
      <c r="R142" s="194" t="s">
        <v>390</v>
      </c>
      <c r="S142" s="134" t="s">
        <v>185</v>
      </c>
    </row>
    <row r="143" spans="1:19" ht="14.1" hidden="1" customHeight="1" x14ac:dyDescent="0.25">
      <c r="A143" s="125"/>
      <c r="B143" s="28" t="s">
        <v>216</v>
      </c>
      <c r="C143" s="166"/>
      <c r="D143" s="166"/>
      <c r="E143" s="127"/>
      <c r="F143" s="60"/>
      <c r="G143" s="127"/>
      <c r="H143" s="60">
        <f t="shared" si="191"/>
        <v>0</v>
      </c>
      <c r="I143" s="135">
        <f t="shared" si="205"/>
        <v>0</v>
      </c>
      <c r="J143" s="125" t="s">
        <v>182</v>
      </c>
      <c r="K143" s="135">
        <f t="shared" si="193"/>
        <v>0</v>
      </c>
      <c r="L143" s="14" t="str">
        <f t="shared" si="194"/>
        <v xml:space="preserve"> </v>
      </c>
      <c r="M143" s="135" t="s">
        <v>188</v>
      </c>
      <c r="N143" s="135">
        <f t="shared" si="195"/>
        <v>0</v>
      </c>
      <c r="O143" s="135">
        <f>IF(H143&gt;7000,7000*$N$5,H143*$N$5)*60%</f>
        <v>0</v>
      </c>
      <c r="P143" s="13">
        <f t="shared" si="207"/>
        <v>0</v>
      </c>
      <c r="Q143" s="134" t="str">
        <f t="shared" si="199"/>
        <v/>
      </c>
      <c r="R143" s="134"/>
      <c r="S143" s="134"/>
    </row>
    <row r="144" spans="1:19" ht="14.1" customHeight="1" x14ac:dyDescent="0.25">
      <c r="A144" s="125"/>
      <c r="B144" s="29" t="s">
        <v>221</v>
      </c>
      <c r="C144" s="30" t="s">
        <v>222</v>
      </c>
      <c r="D144" s="40"/>
      <c r="E144" s="21"/>
      <c r="F144" s="61">
        <f t="shared" ref="F144:P144" si="209">SUM(F137:F143)</f>
        <v>127380</v>
      </c>
      <c r="G144" s="61">
        <f t="shared" si="209"/>
        <v>0</v>
      </c>
      <c r="H144" s="61">
        <f t="shared" si="209"/>
        <v>127380</v>
      </c>
      <c r="I144" s="61">
        <f t="shared" si="209"/>
        <v>15170.957999999999</v>
      </c>
      <c r="J144" s="61">
        <f t="shared" si="209"/>
        <v>0</v>
      </c>
      <c r="K144" s="61">
        <f t="shared" si="209"/>
        <v>9744.57</v>
      </c>
      <c r="L144" s="61">
        <f t="shared" si="209"/>
        <v>7248</v>
      </c>
      <c r="M144" s="61">
        <f t="shared" si="209"/>
        <v>0</v>
      </c>
      <c r="N144" s="61">
        <f t="shared" si="209"/>
        <v>547.73400000000004</v>
      </c>
      <c r="O144" s="61">
        <f t="shared" si="209"/>
        <v>126</v>
      </c>
      <c r="P144" s="61">
        <f t="shared" si="209"/>
        <v>160217.26200000002</v>
      </c>
      <c r="Q144" s="134" t="str">
        <f t="shared" si="199"/>
        <v>*</v>
      </c>
      <c r="S144" s="134"/>
    </row>
    <row r="145" spans="1:19" ht="14.1" customHeight="1" x14ac:dyDescent="0.25">
      <c r="A145" s="125"/>
      <c r="B145" s="34"/>
      <c r="E145" s="14"/>
      <c r="F145" s="60"/>
      <c r="G145" s="14"/>
      <c r="H145" s="62"/>
      <c r="I145" s="13"/>
      <c r="J145" s="134"/>
      <c r="K145" s="134"/>
      <c r="M145" s="134"/>
      <c r="N145" s="134"/>
      <c r="O145" s="134"/>
      <c r="P145" s="134"/>
      <c r="Q145" s="134" t="str">
        <f>+Q154</f>
        <v>*</v>
      </c>
      <c r="S145" s="134"/>
    </row>
    <row r="146" spans="1:19" ht="14.1" customHeight="1" x14ac:dyDescent="0.25">
      <c r="A146" s="125"/>
      <c r="B146" s="28" t="s">
        <v>223</v>
      </c>
      <c r="C146" s="149" t="s">
        <v>13</v>
      </c>
      <c r="D146" s="149"/>
      <c r="E146" s="96"/>
      <c r="F146" s="60"/>
      <c r="G146" s="127"/>
      <c r="H146" s="60"/>
      <c r="I146" s="135"/>
      <c r="J146" s="125"/>
      <c r="K146" s="135"/>
      <c r="L146" s="14" t="str">
        <f>IF(M146="Y",3624," ")</f>
        <v xml:space="preserve"> </v>
      </c>
      <c r="M146" s="135"/>
      <c r="N146" s="135"/>
      <c r="O146" s="135"/>
      <c r="P146" s="13"/>
      <c r="Q146" s="134" t="s">
        <v>2</v>
      </c>
      <c r="S146" s="134"/>
    </row>
    <row r="147" spans="1:19" ht="14.1" hidden="1" customHeight="1" x14ac:dyDescent="0.25">
      <c r="A147" s="125"/>
      <c r="B147" s="28" t="s">
        <v>223</v>
      </c>
      <c r="C147" s="123"/>
      <c r="D147" s="123"/>
      <c r="E147" s="96"/>
      <c r="F147" s="60"/>
      <c r="G147" s="119"/>
      <c r="H147" s="60">
        <f>(F147*PRInf)+G147</f>
        <v>0</v>
      </c>
      <c r="I147" s="135">
        <f t="shared" ref="I147:I149" si="210">IF(J147="Y",H147*$I$5," ")</f>
        <v>0</v>
      </c>
      <c r="J147" s="125" t="s">
        <v>182</v>
      </c>
      <c r="K147" s="135">
        <f>+$H147*$K$5</f>
        <v>0</v>
      </c>
      <c r="L147" s="14">
        <v>0</v>
      </c>
      <c r="M147" s="135" t="s">
        <v>232</v>
      </c>
      <c r="N147" s="135">
        <f>+$H147*$L$7</f>
        <v>0</v>
      </c>
      <c r="O147" s="135">
        <f>IF(H147&gt;7000,7000*$N$5,H147*$N$5)*50%</f>
        <v>0</v>
      </c>
      <c r="P147" s="13">
        <f t="shared" ref="P147:P148" si="211">SUM(K147:O147,H147:I147)</f>
        <v>0</v>
      </c>
      <c r="Q147" s="134" t="str">
        <f t="shared" ref="Q147:Q154" si="212">IF(P147&gt;0.49,"*","")</f>
        <v/>
      </c>
      <c r="S147" s="134"/>
    </row>
    <row r="148" spans="1:19" s="134" customFormat="1" ht="13.2" x14ac:dyDescent="0.25">
      <c r="A148" s="125"/>
      <c r="B148" s="28" t="s">
        <v>223</v>
      </c>
      <c r="C148" s="123" t="s">
        <v>354</v>
      </c>
      <c r="D148" s="123"/>
      <c r="E148" s="96"/>
      <c r="F148" s="60">
        <f>40000*60%*PRInf</f>
        <v>24480</v>
      </c>
      <c r="G148" s="60"/>
      <c r="H148" s="60">
        <f t="shared" ref="H148" si="213">(F148)+G148</f>
        <v>24480</v>
      </c>
      <c r="I148" s="135">
        <f t="shared" si="210"/>
        <v>2915.5679999999998</v>
      </c>
      <c r="J148" s="125" t="s">
        <v>182</v>
      </c>
      <c r="K148" s="135">
        <f>+$H148*$K$5</f>
        <v>1872.72</v>
      </c>
      <c r="L148" s="14" t="str">
        <f t="shared" ref="L148:L153" si="214">IF(M148="Y",3624," ")</f>
        <v xml:space="preserve"> </v>
      </c>
      <c r="M148" s="135" t="s">
        <v>188</v>
      </c>
      <c r="N148" s="135">
        <f>+$H148*$L$7</f>
        <v>922.89599999999996</v>
      </c>
      <c r="O148" s="135">
        <f>IF(H148&gt;7000,7000*$N$5,H148*$N$5)*60%</f>
        <v>12.6</v>
      </c>
      <c r="P148" s="13">
        <f t="shared" si="211"/>
        <v>30203.784</v>
      </c>
      <c r="Q148" s="134" t="str">
        <f t="shared" si="212"/>
        <v>*</v>
      </c>
      <c r="R148" s="193" t="s">
        <v>183</v>
      </c>
      <c r="S148" s="134" t="s">
        <v>185</v>
      </c>
    </row>
    <row r="149" spans="1:19" s="134" customFormat="1" ht="13.2" hidden="1" x14ac:dyDescent="0.25">
      <c r="A149" s="125"/>
      <c r="B149" s="28" t="s">
        <v>223</v>
      </c>
      <c r="C149" s="123"/>
      <c r="D149" s="123"/>
      <c r="E149" s="96"/>
      <c r="F149" s="60"/>
      <c r="G149" s="96"/>
      <c r="H149" s="60">
        <f>(F149*PRInf)+G149</f>
        <v>0</v>
      </c>
      <c r="I149" s="135">
        <f t="shared" si="210"/>
        <v>0</v>
      </c>
      <c r="J149" s="125" t="s">
        <v>182</v>
      </c>
      <c r="K149" s="135">
        <f>+$H149*$K$5</f>
        <v>0</v>
      </c>
      <c r="L149" s="14" t="str">
        <f t="shared" si="214"/>
        <v xml:space="preserve"> </v>
      </c>
      <c r="M149" s="135" t="s">
        <v>188</v>
      </c>
      <c r="N149" s="135">
        <f>+$H149*$L$7</f>
        <v>0</v>
      </c>
      <c r="O149" s="135">
        <f>IF(H149&gt;7000,7000*$N$5,H149*$N$5)*50%</f>
        <v>0</v>
      </c>
      <c r="P149" s="13">
        <f t="shared" ref="P149:P151" si="215">SUM(K149:O149,H149:I149)</f>
        <v>0</v>
      </c>
      <c r="Q149" s="134" t="str">
        <f t="shared" ref="Q149" si="216">IF(P149&gt;0.49,"*","")</f>
        <v/>
      </c>
      <c r="R149" s="193"/>
    </row>
    <row r="150" spans="1:19" ht="13.2" x14ac:dyDescent="0.25">
      <c r="A150" s="125"/>
      <c r="B150" s="28" t="s">
        <v>223</v>
      </c>
      <c r="C150" s="149" t="s">
        <v>14</v>
      </c>
      <c r="D150" s="149"/>
      <c r="E150" s="127"/>
      <c r="F150" s="60"/>
      <c r="G150" s="127"/>
      <c r="H150" s="60"/>
      <c r="I150" s="135"/>
      <c r="J150" s="125"/>
      <c r="K150" s="135"/>
      <c r="L150" s="14" t="str">
        <f t="shared" si="214"/>
        <v xml:space="preserve"> </v>
      </c>
      <c r="M150" s="135"/>
      <c r="N150" s="135"/>
      <c r="O150" s="135"/>
      <c r="P150" s="13"/>
      <c r="Q150" s="134" t="s">
        <v>2</v>
      </c>
      <c r="S150" s="134"/>
    </row>
    <row r="151" spans="1:19" s="134" customFormat="1" ht="14.1" hidden="1" customHeight="1" x14ac:dyDescent="0.25">
      <c r="A151" s="125"/>
      <c r="B151" s="28" t="s">
        <v>223</v>
      </c>
      <c r="C151" s="123"/>
      <c r="D151" s="123"/>
      <c r="E151" s="96"/>
      <c r="F151" s="60"/>
      <c r="G151" s="119"/>
      <c r="H151" s="60">
        <f>(F151*PRInf)+G151</f>
        <v>0</v>
      </c>
      <c r="I151" s="135">
        <f t="shared" ref="I151:I153" si="217">IF(J151="Y",H151*$I$5," ")</f>
        <v>0</v>
      </c>
      <c r="J151" s="125" t="s">
        <v>182</v>
      </c>
      <c r="K151" s="135">
        <f>+$H151*$K$5</f>
        <v>0</v>
      </c>
      <c r="L151" s="14" t="str">
        <f t="shared" si="214"/>
        <v xml:space="preserve"> </v>
      </c>
      <c r="M151" s="135" t="s">
        <v>188</v>
      </c>
      <c r="N151" s="135">
        <f>+$H151*$L$7</f>
        <v>0</v>
      </c>
      <c r="O151" s="135">
        <f>IF(H151&gt;7000,7000*$N$5,H151*$N$5)</f>
        <v>0</v>
      </c>
      <c r="P151" s="13">
        <f t="shared" si="215"/>
        <v>0</v>
      </c>
      <c r="Q151" s="134" t="str">
        <f t="shared" ref="Q151" si="218">IF(P151&gt;0.49,"*","")</f>
        <v/>
      </c>
      <c r="R151" s="193"/>
    </row>
    <row r="152" spans="1:19" s="134" customFormat="1" ht="13.2" x14ac:dyDescent="0.25">
      <c r="A152" s="125"/>
      <c r="B152" s="28" t="s">
        <v>223</v>
      </c>
      <c r="C152" s="123" t="s">
        <v>355</v>
      </c>
      <c r="D152" s="123"/>
      <c r="E152" s="96"/>
      <c r="F152" s="60">
        <f>40000*40%*PRInf</f>
        <v>16320</v>
      </c>
      <c r="G152" s="60"/>
      <c r="H152" s="60">
        <f t="shared" ref="H152" si="219">(F152)+G152</f>
        <v>16320</v>
      </c>
      <c r="I152" s="135">
        <f t="shared" si="217"/>
        <v>1943.712</v>
      </c>
      <c r="J152" s="125" t="s">
        <v>182</v>
      </c>
      <c r="K152" s="135">
        <f>+$H152*$K$5</f>
        <v>1248.48</v>
      </c>
      <c r="L152" s="14" t="str">
        <f t="shared" si="214"/>
        <v xml:space="preserve"> </v>
      </c>
      <c r="M152" s="135" t="s">
        <v>188</v>
      </c>
      <c r="N152" s="135">
        <f>+$H152*$L$7</f>
        <v>615.26400000000001</v>
      </c>
      <c r="O152" s="135">
        <f>IF(H152&gt;7000,7000*$N$5,H152*$N$5)*40%</f>
        <v>8.4</v>
      </c>
      <c r="P152" s="13">
        <f>SUM(K152:O152,H152:I152)</f>
        <v>20135.856</v>
      </c>
      <c r="Q152" s="134" t="str">
        <f t="shared" ref="Q152:Q153" si="220">IF(P152&gt;0.49,"*","")</f>
        <v>*</v>
      </c>
      <c r="R152" s="193" t="s">
        <v>183</v>
      </c>
      <c r="S152" s="134" t="s">
        <v>185</v>
      </c>
    </row>
    <row r="153" spans="1:19" s="134" customFormat="1" ht="13.2" hidden="1" x14ac:dyDescent="0.25">
      <c r="A153" s="125"/>
      <c r="B153" s="28" t="s">
        <v>223</v>
      </c>
      <c r="C153" s="123"/>
      <c r="D153" s="123"/>
      <c r="E153" s="96"/>
      <c r="F153" s="60"/>
      <c r="G153" s="96"/>
      <c r="H153" s="60">
        <f>(F153)+G153</f>
        <v>0</v>
      </c>
      <c r="I153" s="135">
        <f t="shared" si="217"/>
        <v>0</v>
      </c>
      <c r="J153" s="125" t="s">
        <v>182</v>
      </c>
      <c r="K153" s="135">
        <f>+$H153*$K$5</f>
        <v>0</v>
      </c>
      <c r="L153" s="14" t="str">
        <f t="shared" si="214"/>
        <v xml:space="preserve"> </v>
      </c>
      <c r="M153" s="135" t="s">
        <v>188</v>
      </c>
      <c r="N153" s="135">
        <f>+$H153*$L$7</f>
        <v>0</v>
      </c>
      <c r="O153" s="135">
        <f>IF(H153&gt;7000,7000*$N$5,H153*$N$5)*50%</f>
        <v>0</v>
      </c>
      <c r="P153" s="13">
        <f t="shared" ref="P153" si="221">SUM(K153:O153,H153:I153)</f>
        <v>0</v>
      </c>
      <c r="Q153" s="134" t="str">
        <f t="shared" si="220"/>
        <v/>
      </c>
      <c r="R153" s="172"/>
    </row>
    <row r="154" spans="1:19" ht="13.2" x14ac:dyDescent="0.25">
      <c r="A154" s="125"/>
      <c r="B154" s="29" t="s">
        <v>224</v>
      </c>
      <c r="C154" s="30" t="s">
        <v>225</v>
      </c>
      <c r="D154" s="40"/>
      <c r="E154" s="21"/>
      <c r="F154" s="61">
        <f t="shared" ref="F154:P154" si="222">SUM(F147:F153)</f>
        <v>40800</v>
      </c>
      <c r="G154" s="61">
        <f t="shared" si="222"/>
        <v>0</v>
      </c>
      <c r="H154" s="61">
        <f t="shared" si="222"/>
        <v>40800</v>
      </c>
      <c r="I154" s="61">
        <f t="shared" si="222"/>
        <v>4859.28</v>
      </c>
      <c r="J154" s="61">
        <f t="shared" si="222"/>
        <v>0</v>
      </c>
      <c r="K154" s="61">
        <f t="shared" si="222"/>
        <v>3121.2</v>
      </c>
      <c r="L154" s="61">
        <f t="shared" si="222"/>
        <v>0</v>
      </c>
      <c r="M154" s="61">
        <f t="shared" si="222"/>
        <v>0</v>
      </c>
      <c r="N154" s="61">
        <f t="shared" si="222"/>
        <v>1538.1599999999999</v>
      </c>
      <c r="O154" s="61">
        <f t="shared" si="222"/>
        <v>21</v>
      </c>
      <c r="P154" s="61">
        <f t="shared" si="222"/>
        <v>50339.64</v>
      </c>
      <c r="Q154" s="134" t="str">
        <f t="shared" si="212"/>
        <v>*</v>
      </c>
    </row>
    <row r="155" spans="1:19" ht="14.1" customHeight="1" x14ac:dyDescent="0.25">
      <c r="A155" s="125"/>
      <c r="B155" s="34"/>
      <c r="E155" s="14"/>
      <c r="F155" s="60"/>
      <c r="G155" s="14"/>
      <c r="H155" s="62"/>
      <c r="I155" s="13"/>
      <c r="J155" s="134"/>
      <c r="K155" s="134"/>
      <c r="M155" s="134"/>
      <c r="N155" s="134"/>
      <c r="O155" s="134"/>
      <c r="P155" s="134"/>
      <c r="Q155" s="134" t="str">
        <f>+Q165</f>
        <v>*</v>
      </c>
    </row>
    <row r="156" spans="1:19" ht="13.5" customHeight="1" x14ac:dyDescent="0.25">
      <c r="A156" s="125"/>
      <c r="B156" s="28" t="s">
        <v>226</v>
      </c>
      <c r="C156" s="149" t="s">
        <v>13</v>
      </c>
      <c r="D156" s="149"/>
      <c r="E156" s="127"/>
      <c r="F156" s="60"/>
      <c r="G156" s="127"/>
      <c r="H156" s="60"/>
      <c r="I156" s="135"/>
      <c r="J156" s="125"/>
      <c r="K156" s="135"/>
      <c r="L156" s="14"/>
      <c r="M156" s="135"/>
      <c r="N156" s="135"/>
      <c r="O156" s="135"/>
      <c r="P156" s="13"/>
      <c r="Q156" s="134" t="s">
        <v>2</v>
      </c>
    </row>
    <row r="157" spans="1:19" s="134" customFormat="1" ht="14.1" customHeight="1" x14ac:dyDescent="0.25">
      <c r="A157" s="125"/>
      <c r="B157" s="28" t="s">
        <v>226</v>
      </c>
      <c r="C157" s="123" t="s">
        <v>394</v>
      </c>
      <c r="D157" s="123"/>
      <c r="E157" s="127">
        <v>15</v>
      </c>
      <c r="F157" s="60">
        <f>+E157*20*20</f>
        <v>6000</v>
      </c>
      <c r="G157" s="60"/>
      <c r="H157" s="60">
        <f t="shared" ref="H157:H164" si="223">(F157*PRInf)+G157</f>
        <v>6120</v>
      </c>
      <c r="I157" s="135">
        <f t="shared" ref="I157:I164" si="224">IF(J157="Y",H157*$I$5," ")</f>
        <v>728.89199999999994</v>
      </c>
      <c r="J157" s="125" t="s">
        <v>182</v>
      </c>
      <c r="K157" s="135">
        <f t="shared" ref="K157:K164" si="225">+$H157*$K$5</f>
        <v>468.18</v>
      </c>
      <c r="L157" s="14" t="str">
        <f>IF(M157="Y",3624," ")</f>
        <v xml:space="preserve"> </v>
      </c>
      <c r="M157" s="135" t="s">
        <v>188</v>
      </c>
      <c r="N157" s="135">
        <f t="shared" ref="N157:N164" si="226">+$H157*$L$5</f>
        <v>26.315999999999999</v>
      </c>
      <c r="O157" s="135">
        <f>IF(H157&gt;7000,7000*$N$5,H157*$N$5)</f>
        <v>18.36</v>
      </c>
      <c r="P157" s="13">
        <f t="shared" ref="P157" si="227">SUM(K157:O157,H157:I157)</f>
        <v>7361.7479999999996</v>
      </c>
      <c r="Q157" s="134" t="str">
        <f t="shared" ref="Q157" si="228">IF(P157&gt;0.49,"*","")</f>
        <v>*</v>
      </c>
      <c r="R157" s="194" t="s">
        <v>391</v>
      </c>
    </row>
    <row r="158" spans="1:19" s="134" customFormat="1" ht="14.1" customHeight="1" x14ac:dyDescent="0.25">
      <c r="A158" s="125"/>
      <c r="B158" s="28" t="s">
        <v>226</v>
      </c>
      <c r="C158" s="123" t="s">
        <v>393</v>
      </c>
      <c r="D158" s="123"/>
      <c r="E158" s="127">
        <v>15</v>
      </c>
      <c r="F158" s="60">
        <f>+E158*20*20</f>
        <v>6000</v>
      </c>
      <c r="G158" s="60"/>
      <c r="H158" s="60">
        <f t="shared" si="223"/>
        <v>6120</v>
      </c>
      <c r="I158" s="135">
        <f t="shared" si="224"/>
        <v>728.89199999999994</v>
      </c>
      <c r="J158" s="125" t="s">
        <v>182</v>
      </c>
      <c r="K158" s="135">
        <f t="shared" si="225"/>
        <v>468.18</v>
      </c>
      <c r="L158" s="14" t="str">
        <f>IF(M158="Y",3624," ")</f>
        <v xml:space="preserve"> </v>
      </c>
      <c r="M158" s="135" t="s">
        <v>188</v>
      </c>
      <c r="N158" s="135">
        <f t="shared" si="226"/>
        <v>26.315999999999999</v>
      </c>
      <c r="O158" s="135">
        <f t="shared" ref="O158" si="229">IF(H158&gt;7000,7000*$N$5,H158*$N$5)</f>
        <v>18.36</v>
      </c>
      <c r="P158" s="13">
        <f t="shared" ref="P158" si="230">SUM(K158:O158,H158:I158)</f>
        <v>7361.7479999999996</v>
      </c>
      <c r="Q158" s="134" t="str">
        <f t="shared" ref="Q158:Q164" si="231">IF(P158&gt;0.49,"*","")</f>
        <v>*</v>
      </c>
      <c r="R158" s="194" t="s">
        <v>391</v>
      </c>
    </row>
    <row r="159" spans="1:19" s="134" customFormat="1" ht="14.1" customHeight="1" x14ac:dyDescent="0.25">
      <c r="A159" s="125"/>
      <c r="B159" s="28" t="s">
        <v>226</v>
      </c>
      <c r="C159" s="123" t="s">
        <v>190</v>
      </c>
      <c r="D159" s="123"/>
      <c r="E159" s="127"/>
      <c r="F159" s="60">
        <v>0</v>
      </c>
      <c r="G159" s="60">
        <v>5880</v>
      </c>
      <c r="H159" s="60">
        <f t="shared" si="223"/>
        <v>5880</v>
      </c>
      <c r="I159" s="135">
        <f t="shared" ref="I159" si="232">IF(J159="Y",H159*$I$5," ")</f>
        <v>700.30799999999999</v>
      </c>
      <c r="J159" s="125" t="s">
        <v>182</v>
      </c>
      <c r="K159" s="135">
        <f t="shared" si="225"/>
        <v>449.82</v>
      </c>
      <c r="L159" s="14"/>
      <c r="M159" s="135" t="s">
        <v>182</v>
      </c>
      <c r="N159" s="135">
        <f t="shared" si="226"/>
        <v>25.283999999999999</v>
      </c>
      <c r="O159" s="135">
        <f t="shared" ref="O159:O162" si="233">IF(H159&gt;7000,7000*$N$5,H159*$N$5)</f>
        <v>17.64</v>
      </c>
      <c r="P159" s="13">
        <f t="shared" ref="P159:P162" si="234">SUM(K159:O159,H159:I159)</f>
        <v>7073.0519999999997</v>
      </c>
      <c r="Q159" s="134" t="str">
        <f t="shared" ref="Q159:Q162" si="235">IF(P159&gt;0.49,"*","")</f>
        <v>*</v>
      </c>
      <c r="R159" s="193" t="s">
        <v>183</v>
      </c>
    </row>
    <row r="160" spans="1:19" s="134" customFormat="1" ht="14.1" customHeight="1" x14ac:dyDescent="0.25">
      <c r="A160" s="125"/>
      <c r="B160" s="28" t="s">
        <v>226</v>
      </c>
      <c r="C160" s="123" t="s">
        <v>383</v>
      </c>
      <c r="D160" s="123"/>
      <c r="E160" s="127">
        <v>15</v>
      </c>
      <c r="F160" s="60">
        <f>+E160*10*20</f>
        <v>3000</v>
      </c>
      <c r="G160" s="60"/>
      <c r="H160" s="60">
        <f t="shared" si="223"/>
        <v>3060</v>
      </c>
      <c r="I160" s="135">
        <f t="shared" si="224"/>
        <v>364.44599999999997</v>
      </c>
      <c r="J160" s="125" t="s">
        <v>182</v>
      </c>
      <c r="K160" s="135">
        <f t="shared" si="225"/>
        <v>234.09</v>
      </c>
      <c r="L160" s="14" t="str">
        <f>IF(M160="Y",3624," ")</f>
        <v xml:space="preserve"> </v>
      </c>
      <c r="M160" s="135" t="s">
        <v>188</v>
      </c>
      <c r="N160" s="135">
        <f t="shared" si="226"/>
        <v>13.157999999999999</v>
      </c>
      <c r="O160" s="135">
        <f t="shared" ref="O160" si="236">IF(H160&gt;7000,7000*$N$5,H160*$N$5)</f>
        <v>9.18</v>
      </c>
      <c r="P160" s="13">
        <f t="shared" ref="P160" si="237">SUM(K160:O160,H160:I160)</f>
        <v>3680.8739999999998</v>
      </c>
      <c r="Q160" s="134" t="str">
        <f t="shared" ref="Q160" si="238">IF(P160&gt;0.49,"*","")</f>
        <v>*</v>
      </c>
      <c r="R160" s="194" t="s">
        <v>395</v>
      </c>
    </row>
    <row r="161" spans="1:18" s="134" customFormat="1" ht="14.1" customHeight="1" x14ac:dyDescent="0.25">
      <c r="A161" s="125"/>
      <c r="B161" s="28" t="s">
        <v>226</v>
      </c>
      <c r="C161" s="123" t="s">
        <v>384</v>
      </c>
      <c r="D161" s="123"/>
      <c r="E161" s="127"/>
      <c r="F161" s="60">
        <v>0</v>
      </c>
      <c r="G161" s="60">
        <v>3480</v>
      </c>
      <c r="H161" s="60">
        <f t="shared" ref="H161" si="239">(F161*PRInf)+G161</f>
        <v>3480</v>
      </c>
      <c r="I161" s="135">
        <f t="shared" ref="I161" si="240">IF(J161="Y",H161*$I$5," ")</f>
        <v>414.46800000000002</v>
      </c>
      <c r="J161" s="125" t="s">
        <v>182</v>
      </c>
      <c r="K161" s="135">
        <f t="shared" si="225"/>
        <v>266.21999999999997</v>
      </c>
      <c r="L161" s="14" t="str">
        <f>IF(M161="Y",3624," ")</f>
        <v xml:space="preserve"> </v>
      </c>
      <c r="M161" s="135" t="s">
        <v>188</v>
      </c>
      <c r="N161" s="135">
        <f t="shared" si="226"/>
        <v>14.964</v>
      </c>
      <c r="O161" s="135">
        <f t="shared" ref="O161" si="241">IF(H161&gt;7000,7000*$N$5,H161*$N$5)</f>
        <v>10.44</v>
      </c>
      <c r="P161" s="13">
        <f t="shared" ref="P161" si="242">SUM(K161:O161,H161:I161)</f>
        <v>4186.0919999999996</v>
      </c>
      <c r="Q161" s="134" t="str">
        <f t="shared" ref="Q161" si="243">IF(P161&gt;0.49,"*","")</f>
        <v>*</v>
      </c>
      <c r="R161" s="193" t="s">
        <v>183</v>
      </c>
    </row>
    <row r="162" spans="1:18" s="134" customFormat="1" ht="14.1" customHeight="1" x14ac:dyDescent="0.25">
      <c r="A162" s="125"/>
      <c r="B162" s="28" t="s">
        <v>226</v>
      </c>
      <c r="C162" s="123" t="s">
        <v>342</v>
      </c>
      <c r="D162" s="123"/>
      <c r="E162" s="127">
        <v>15</v>
      </c>
      <c r="F162" s="60">
        <f>+E162*10*20</f>
        <v>3000</v>
      </c>
      <c r="G162" s="60"/>
      <c r="H162" s="60">
        <f t="shared" si="223"/>
        <v>3060</v>
      </c>
      <c r="I162" s="135">
        <f t="shared" ref="I162" si="244">IF(J162="Y",H162*$I$5," ")</f>
        <v>364.44599999999997</v>
      </c>
      <c r="J162" s="125" t="s">
        <v>182</v>
      </c>
      <c r="K162" s="135">
        <f t="shared" si="225"/>
        <v>234.09</v>
      </c>
      <c r="L162" s="14" t="str">
        <f>IF(M162="Y",3624," ")</f>
        <v xml:space="preserve"> </v>
      </c>
      <c r="M162" s="135" t="s">
        <v>188</v>
      </c>
      <c r="N162" s="135">
        <f t="shared" si="226"/>
        <v>13.157999999999999</v>
      </c>
      <c r="O162" s="135">
        <f t="shared" si="233"/>
        <v>9.18</v>
      </c>
      <c r="P162" s="13">
        <f t="shared" si="234"/>
        <v>3680.8739999999998</v>
      </c>
      <c r="Q162" s="134" t="str">
        <f t="shared" si="235"/>
        <v>*</v>
      </c>
      <c r="R162" s="194" t="s">
        <v>395</v>
      </c>
    </row>
    <row r="163" spans="1:18" s="134" customFormat="1" ht="14.1" customHeight="1" x14ac:dyDescent="0.25">
      <c r="A163" s="125"/>
      <c r="B163" s="28" t="s">
        <v>226</v>
      </c>
      <c r="C163" s="123" t="s">
        <v>326</v>
      </c>
      <c r="D163" s="123"/>
      <c r="E163" s="127"/>
      <c r="F163" s="60">
        <v>0</v>
      </c>
      <c r="G163" s="60">
        <v>7000</v>
      </c>
      <c r="H163" s="60">
        <f t="shared" si="223"/>
        <v>7000</v>
      </c>
      <c r="I163" s="135">
        <f t="shared" si="224"/>
        <v>833.69999999999993</v>
      </c>
      <c r="J163" s="125" t="s">
        <v>182</v>
      </c>
      <c r="K163" s="135">
        <f t="shared" si="225"/>
        <v>535.5</v>
      </c>
      <c r="L163" s="14" t="str">
        <f>IF(M163="Y",3624," ")</f>
        <v xml:space="preserve"> </v>
      </c>
      <c r="M163" s="135" t="s">
        <v>188</v>
      </c>
      <c r="N163" s="135">
        <f t="shared" si="226"/>
        <v>30.1</v>
      </c>
      <c r="O163" s="135">
        <f t="shared" ref="O163" si="245">IF(H163&gt;7000,7000*$N$5,H163*$N$5)</f>
        <v>21</v>
      </c>
      <c r="P163" s="13">
        <f t="shared" ref="P163:P164" si="246">SUM(K163:O163,H163:I163)</f>
        <v>8420.3000000000011</v>
      </c>
      <c r="Q163" s="134" t="str">
        <f t="shared" si="231"/>
        <v>*</v>
      </c>
      <c r="R163" s="193" t="s">
        <v>183</v>
      </c>
    </row>
    <row r="164" spans="1:18" s="134" customFormat="1" ht="14.1" hidden="1" customHeight="1" x14ac:dyDescent="0.25">
      <c r="A164" s="125"/>
      <c r="B164" s="28" t="s">
        <v>226</v>
      </c>
      <c r="C164" s="123"/>
      <c r="D164" s="123"/>
      <c r="E164" s="127"/>
      <c r="F164" s="60"/>
      <c r="G164" s="127"/>
      <c r="H164" s="60">
        <f t="shared" si="223"/>
        <v>0</v>
      </c>
      <c r="I164" s="135">
        <f t="shared" si="224"/>
        <v>0</v>
      </c>
      <c r="J164" s="125" t="s">
        <v>182</v>
      </c>
      <c r="K164" s="135">
        <f t="shared" si="225"/>
        <v>0</v>
      </c>
      <c r="L164" s="14" t="str">
        <f>IF(M164="Y",3624," ")</f>
        <v xml:space="preserve"> </v>
      </c>
      <c r="M164" s="135" t="s">
        <v>188</v>
      </c>
      <c r="N164" s="135">
        <f t="shared" si="226"/>
        <v>0</v>
      </c>
      <c r="O164" s="135">
        <f>IF(H164&gt;7000,7000*$N$5,H164*$N$5)*0</f>
        <v>0</v>
      </c>
      <c r="P164" s="13">
        <f t="shared" si="246"/>
        <v>0</v>
      </c>
      <c r="Q164" s="134" t="str">
        <f t="shared" si="231"/>
        <v/>
      </c>
      <c r="R164" s="193"/>
    </row>
    <row r="165" spans="1:18" ht="14.1" customHeight="1" x14ac:dyDescent="0.25">
      <c r="A165" s="125"/>
      <c r="B165" s="45" t="s">
        <v>227</v>
      </c>
      <c r="C165" s="30" t="s">
        <v>228</v>
      </c>
      <c r="D165" s="40"/>
      <c r="E165" s="21"/>
      <c r="F165" s="61">
        <f>SUM(F156:F164)</f>
        <v>18000</v>
      </c>
      <c r="G165" s="61">
        <f>SUM(G156:G164)</f>
        <v>16360</v>
      </c>
      <c r="H165" s="61">
        <f>SUM(H156:H164)</f>
        <v>34720</v>
      </c>
      <c r="I165" s="20">
        <f>SUM(I156:I164)</f>
        <v>4135.1519999999991</v>
      </c>
      <c r="J165" s="20"/>
      <c r="K165" s="20">
        <f>SUM(K156:K164)</f>
        <v>2656.08</v>
      </c>
      <c r="L165" s="21">
        <f>SUM(L156:L164)</f>
        <v>0</v>
      </c>
      <c r="M165" s="20"/>
      <c r="N165" s="20">
        <f>SUM(N156:N164)</f>
        <v>149.29599999999999</v>
      </c>
      <c r="O165" s="20">
        <f>SUM(O156:O164)</f>
        <v>104.16</v>
      </c>
      <c r="P165" s="20">
        <f>SUM(P156:P164)</f>
        <v>41764.688000000002</v>
      </c>
      <c r="Q165" s="134" t="str">
        <f t="shared" ref="Q165:Q166" si="247">IF(P165&gt;0.49,"*","")</f>
        <v>*</v>
      </c>
    </row>
    <row r="166" spans="1:18" ht="14.1" customHeight="1" x14ac:dyDescent="0.25">
      <c r="A166" s="125"/>
      <c r="B166" s="34"/>
      <c r="E166" s="23"/>
      <c r="F166" s="23">
        <f t="shared" ref="F166:P166" si="248">SUM(F165,F144,F154,F135,F118,F99,F90,F82,F74,F60,F48,F104)</f>
        <v>2504929.1490666666</v>
      </c>
      <c r="G166" s="23">
        <f t="shared" si="248"/>
        <v>28720</v>
      </c>
      <c r="H166" s="23">
        <f t="shared" si="248"/>
        <v>2537184.137562667</v>
      </c>
      <c r="I166" s="23">
        <f t="shared" si="248"/>
        <v>302178.63078371354</v>
      </c>
      <c r="J166" s="23">
        <f t="shared" si="248"/>
        <v>0</v>
      </c>
      <c r="K166" s="23">
        <f t="shared" si="248"/>
        <v>194094.58652354401</v>
      </c>
      <c r="L166" s="23">
        <f t="shared" si="248"/>
        <v>115968</v>
      </c>
      <c r="M166" s="23">
        <f t="shared" si="248"/>
        <v>0</v>
      </c>
      <c r="N166" s="23">
        <f t="shared" si="248"/>
        <v>12272.611791519466</v>
      </c>
      <c r="O166" s="23">
        <f t="shared" si="248"/>
        <v>1452.3356800000001</v>
      </c>
      <c r="P166" s="23">
        <f t="shared" si="248"/>
        <v>3163150.302341444</v>
      </c>
      <c r="Q166" s="134" t="str">
        <f t="shared" si="247"/>
        <v>*</v>
      </c>
    </row>
    <row r="167" spans="1:18" ht="14.1" hidden="1" customHeight="1" x14ac:dyDescent="0.25">
      <c r="A167" s="125"/>
      <c r="B167" s="134"/>
      <c r="F167" s="60"/>
      <c r="G167" s="34"/>
      <c r="H167" s="34"/>
      <c r="I167" s="102">
        <f>+I166/$H$166</f>
        <v>0.11909999999999996</v>
      </c>
      <c r="J167" s="102"/>
      <c r="K167" s="102">
        <f>+K166/$H$166</f>
        <v>7.6499999999999999E-2</v>
      </c>
      <c r="L167" s="164">
        <f t="shared" ref="L167:O167" si="249">+L166/$H$166</f>
        <v>4.5707364429372503E-2</v>
      </c>
      <c r="M167" s="102"/>
      <c r="N167" s="102">
        <f t="shared" si="249"/>
        <v>4.8370993692673355E-3</v>
      </c>
      <c r="O167" s="102">
        <f t="shared" si="249"/>
        <v>5.7242029007606009E-4</v>
      </c>
      <c r="P167" s="102">
        <f>+P166/$H$166</f>
        <v>1.2467168840887157</v>
      </c>
      <c r="Q167" s="134"/>
      <c r="R167" s="134"/>
    </row>
    <row r="168" spans="1:18" ht="13.95" customHeight="1" x14ac:dyDescent="0.25">
      <c r="A168" s="125"/>
      <c r="B168" s="134"/>
      <c r="F168" s="60"/>
      <c r="G168" s="34"/>
      <c r="H168" s="64"/>
      <c r="I168" s="134"/>
      <c r="J168" s="134"/>
      <c r="K168" s="136"/>
      <c r="L168" s="154"/>
      <c r="M168" s="134"/>
      <c r="N168" s="136"/>
      <c r="O168" s="136"/>
      <c r="P168" s="56"/>
      <c r="Q168" s="134"/>
    </row>
    <row r="169" spans="1:18" ht="12.75" customHeight="1" x14ac:dyDescent="0.25">
      <c r="A169" s="125"/>
      <c r="B169" s="134"/>
      <c r="F169" s="60"/>
      <c r="G169" s="34"/>
      <c r="H169" s="65"/>
      <c r="I169" s="134"/>
      <c r="J169" s="134"/>
      <c r="K169" s="134"/>
      <c r="M169" s="134"/>
      <c r="N169" s="106"/>
      <c r="O169" s="134"/>
      <c r="P169" s="134"/>
      <c r="Q169" s="134"/>
    </row>
    <row r="170" spans="1:18" ht="12.75" customHeight="1" x14ac:dyDescent="0.25">
      <c r="A170" s="125"/>
      <c r="B170" s="134"/>
      <c r="F170" s="60"/>
      <c r="G170" s="34"/>
      <c r="H170" s="64"/>
      <c r="I170" s="134"/>
      <c r="J170" s="134"/>
      <c r="K170" s="134"/>
      <c r="M170" s="134"/>
      <c r="N170" s="107"/>
      <c r="O170" s="27"/>
      <c r="P170" s="13"/>
      <c r="Q170" s="134"/>
    </row>
    <row r="171" spans="1:18" ht="12.75" customHeight="1" x14ac:dyDescent="0.25">
      <c r="A171" s="125"/>
      <c r="B171" s="134"/>
      <c r="F171" s="60"/>
      <c r="G171" s="34"/>
      <c r="H171" s="65"/>
      <c r="I171" s="134"/>
      <c r="J171" s="134"/>
      <c r="K171" s="134"/>
      <c r="M171" s="134"/>
      <c r="N171" s="135"/>
      <c r="O171" s="27"/>
      <c r="P171" s="102"/>
      <c r="Q171" s="134"/>
    </row>
    <row r="172" spans="1:18" ht="12.75" customHeight="1" x14ac:dyDescent="0.25">
      <c r="A172" s="125"/>
      <c r="B172" s="134"/>
      <c r="F172" s="60"/>
      <c r="G172" s="34"/>
      <c r="H172" s="64"/>
      <c r="I172" s="134"/>
      <c r="J172" s="134"/>
      <c r="K172" s="134"/>
      <c r="M172" s="134"/>
      <c r="N172" s="135"/>
      <c r="O172" s="27"/>
      <c r="P172" s="102"/>
      <c r="Q172" s="134"/>
    </row>
    <row r="173" spans="1:18" ht="12.75" customHeight="1" x14ac:dyDescent="0.25">
      <c r="F173" s="60"/>
      <c r="G173" s="34"/>
      <c r="H173" s="64"/>
      <c r="I173" s="134"/>
      <c r="J173" s="134"/>
      <c r="K173" s="134"/>
      <c r="M173" s="134"/>
      <c r="N173" s="135"/>
      <c r="O173" s="27"/>
      <c r="P173" s="102"/>
      <c r="Q173" s="134"/>
    </row>
    <row r="174" spans="1:18" ht="12.75" customHeight="1" x14ac:dyDescent="0.25">
      <c r="F174" s="60"/>
      <c r="G174" s="34"/>
      <c r="H174" s="64"/>
      <c r="I174" s="134"/>
      <c r="J174" s="134"/>
      <c r="K174" s="135"/>
      <c r="L174" s="164"/>
      <c r="M174" s="134"/>
      <c r="N174" s="135"/>
      <c r="O174" s="27"/>
      <c r="P174" s="102"/>
      <c r="Q174" s="134"/>
    </row>
    <row r="175" spans="1:18" ht="12.75" customHeight="1" x14ac:dyDescent="0.25">
      <c r="F175" s="60"/>
      <c r="G175" s="34"/>
      <c r="H175" s="64"/>
      <c r="I175" s="134"/>
      <c r="J175" s="134"/>
      <c r="K175" s="135"/>
      <c r="L175" s="164"/>
      <c r="M175" s="134"/>
      <c r="N175" s="136"/>
      <c r="O175" s="27"/>
      <c r="P175" s="102"/>
      <c r="Q175" s="134"/>
    </row>
    <row r="176" spans="1:18" ht="12.75" hidden="1" customHeight="1" x14ac:dyDescent="0.25">
      <c r="F176" s="60"/>
      <c r="G176" s="34"/>
      <c r="H176" s="64"/>
      <c r="I176" s="134"/>
      <c r="J176" s="134"/>
      <c r="K176" s="135" t="s">
        <v>229</v>
      </c>
      <c r="L176" s="14">
        <v>1520575.5699999996</v>
      </c>
      <c r="M176" s="135"/>
      <c r="N176" s="135">
        <v>1199445.7800000005</v>
      </c>
      <c r="O176" s="135">
        <f>+L176+N176</f>
        <v>2720021.35</v>
      </c>
      <c r="P176" s="134"/>
      <c r="Q176" s="134"/>
      <c r="R176" s="134"/>
    </row>
    <row r="177" spans="5:18" ht="12.75" hidden="1" customHeight="1" x14ac:dyDescent="0.25">
      <c r="F177" s="60"/>
      <c r="G177" s="34"/>
      <c r="H177" s="64"/>
      <c r="I177" s="134"/>
      <c r="J177" s="134"/>
      <c r="K177" s="135">
        <v>210</v>
      </c>
      <c r="L177" s="14">
        <v>129924.15999999997</v>
      </c>
      <c r="M177" s="135"/>
      <c r="N177" s="135">
        <v>94959.83</v>
      </c>
      <c r="O177" s="135">
        <f t="shared" ref="O177:O182" si="250">+L177+N177</f>
        <v>224883.99</v>
      </c>
      <c r="P177" s="27">
        <f>+O177/$O$176</f>
        <v>8.2677288544077049E-2</v>
      </c>
      <c r="Q177" s="134"/>
      <c r="R177" s="134"/>
    </row>
    <row r="178" spans="5:18" ht="12.75" hidden="1" customHeight="1" x14ac:dyDescent="0.25">
      <c r="F178" s="60"/>
      <c r="G178" s="34"/>
      <c r="H178" s="64"/>
      <c r="I178" s="134"/>
      <c r="J178" s="134"/>
      <c r="K178" s="135">
        <v>220</v>
      </c>
      <c r="L178" s="14">
        <v>110071.15499999998</v>
      </c>
      <c r="M178" s="135"/>
      <c r="N178" s="135">
        <v>87506.84</v>
      </c>
      <c r="O178" s="135">
        <f t="shared" si="250"/>
        <v>197577.995</v>
      </c>
      <c r="P178" s="27">
        <f t="shared" ref="P178:P181" si="251">+O178/$O$176</f>
        <v>7.2638398591981637E-2</v>
      </c>
      <c r="Q178" s="134"/>
      <c r="R178" s="134"/>
    </row>
    <row r="179" spans="5:18" ht="12.75" hidden="1" customHeight="1" x14ac:dyDescent="0.25">
      <c r="F179" s="60"/>
      <c r="G179" s="34"/>
      <c r="H179" s="63"/>
      <c r="I179" s="134"/>
      <c r="J179" s="134"/>
      <c r="K179" s="135">
        <v>230</v>
      </c>
      <c r="L179" s="14">
        <v>52727.9</v>
      </c>
      <c r="M179" s="135"/>
      <c r="N179" s="135">
        <v>58095.905000000013</v>
      </c>
      <c r="O179" s="135">
        <f t="shared" si="250"/>
        <v>110823.80500000002</v>
      </c>
      <c r="P179" s="27">
        <f t="shared" si="251"/>
        <v>4.0743726147590725E-2</v>
      </c>
      <c r="Q179" s="134"/>
      <c r="R179" s="134"/>
    </row>
    <row r="180" spans="5:18" ht="12.75" hidden="1" customHeight="1" x14ac:dyDescent="0.25">
      <c r="E180" s="154">
        <v>0</v>
      </c>
      <c r="F180" s="60"/>
      <c r="G180" s="154"/>
      <c r="H180" s="64"/>
      <c r="I180" s="136"/>
      <c r="J180" s="136"/>
      <c r="K180" s="135">
        <v>240</v>
      </c>
      <c r="L180" s="14">
        <v>7253.2499999999991</v>
      </c>
      <c r="M180" s="135"/>
      <c r="N180" s="135">
        <v>6904.45</v>
      </c>
      <c r="O180" s="135">
        <f t="shared" si="250"/>
        <v>14157.699999999999</v>
      </c>
      <c r="P180" s="27">
        <f t="shared" si="251"/>
        <v>5.2049959093151965E-3</v>
      </c>
      <c r="Q180" s="134"/>
      <c r="R180" s="134"/>
    </row>
    <row r="181" spans="5:18" ht="12.75" hidden="1" customHeight="1" x14ac:dyDescent="0.25">
      <c r="F181" s="60"/>
      <c r="G181" s="34"/>
      <c r="H181" s="63"/>
      <c r="I181" s="134"/>
      <c r="J181" s="134"/>
      <c r="K181" s="135">
        <v>250</v>
      </c>
      <c r="L181" s="14">
        <v>389.79500000000007</v>
      </c>
      <c r="M181" s="135"/>
      <c r="N181" s="135">
        <v>301.92</v>
      </c>
      <c r="O181" s="135">
        <f t="shared" si="250"/>
        <v>691.71500000000015</v>
      </c>
      <c r="P181" s="27">
        <f t="shared" si="251"/>
        <v>2.5430498918694152E-4</v>
      </c>
      <c r="Q181" s="134"/>
      <c r="R181" s="134"/>
    </row>
    <row r="182" spans="5:18" ht="12.75" hidden="1" customHeight="1" x14ac:dyDescent="0.25">
      <c r="F182" s="60"/>
      <c r="G182" s="34"/>
      <c r="H182" s="64"/>
      <c r="I182" s="134"/>
      <c r="J182" s="134"/>
      <c r="K182" s="135" t="s">
        <v>230</v>
      </c>
      <c r="L182" s="14">
        <v>1820941.8299999996</v>
      </c>
      <c r="M182" s="135"/>
      <c r="N182" s="135">
        <v>1447214.7250000006</v>
      </c>
      <c r="O182" s="135">
        <f t="shared" si="250"/>
        <v>3268156.5550000002</v>
      </c>
      <c r="P182" s="27">
        <f>+O182/$O$176</f>
        <v>1.2015187141821515</v>
      </c>
      <c r="Q182" s="134"/>
      <c r="R182" s="134"/>
    </row>
    <row r="183" spans="5:18" ht="12.75" hidden="1" customHeight="1" x14ac:dyDescent="0.25">
      <c r="F183" s="60"/>
      <c r="G183" s="34"/>
      <c r="H183" s="64"/>
      <c r="I183" s="134"/>
      <c r="J183" s="134"/>
      <c r="K183" s="135"/>
      <c r="L183" s="164"/>
      <c r="M183" s="134"/>
      <c r="N183" s="134"/>
      <c r="O183" s="134"/>
      <c r="P183" s="134"/>
      <c r="Q183" s="134"/>
      <c r="R183" s="134"/>
    </row>
    <row r="184" spans="5:18" ht="12.75" hidden="1" customHeight="1" x14ac:dyDescent="0.25">
      <c r="F184" s="60"/>
      <c r="G184" s="34"/>
      <c r="H184" s="64"/>
      <c r="I184" s="134"/>
      <c r="J184" s="134"/>
      <c r="K184" s="134"/>
      <c r="L184" s="164"/>
      <c r="M184" s="134"/>
      <c r="N184" s="13"/>
      <c r="O184" s="134"/>
      <c r="P184" s="134"/>
      <c r="Q184" s="134"/>
      <c r="R184" s="134"/>
    </row>
    <row r="185" spans="5:18" ht="12.75" customHeight="1" x14ac:dyDescent="0.25">
      <c r="F185" s="60"/>
      <c r="G185" s="34"/>
      <c r="H185" s="64"/>
      <c r="I185" s="134"/>
      <c r="J185" s="134"/>
      <c r="K185" s="13"/>
      <c r="L185" s="164"/>
      <c r="M185" s="134"/>
      <c r="N185" s="13"/>
      <c r="O185" s="27"/>
      <c r="P185" s="134"/>
      <c r="Q185" s="134"/>
    </row>
    <row r="186" spans="5:18" ht="12.75" customHeight="1" x14ac:dyDescent="0.25">
      <c r="F186" s="60"/>
      <c r="G186" s="34"/>
      <c r="H186" s="64"/>
      <c r="I186" s="134"/>
      <c r="J186" s="134"/>
      <c r="K186" s="13"/>
      <c r="L186" s="164"/>
      <c r="M186" s="134"/>
      <c r="N186" s="13"/>
      <c r="O186" s="27"/>
      <c r="P186" s="134"/>
      <c r="Q186" s="134"/>
    </row>
    <row r="187" spans="5:18" ht="12.75" customHeight="1" x14ac:dyDescent="0.25">
      <c r="F187" s="60"/>
      <c r="G187" s="34"/>
      <c r="H187" s="64"/>
      <c r="I187" s="134"/>
      <c r="J187" s="134"/>
      <c r="K187" s="13"/>
      <c r="L187" s="164"/>
      <c r="M187" s="134"/>
      <c r="N187" s="13"/>
      <c r="O187" s="27"/>
      <c r="P187" s="134"/>
      <c r="Q187" s="134"/>
    </row>
    <row r="188" spans="5:18" ht="12.75" customHeight="1" x14ac:dyDescent="0.25">
      <c r="F188" s="60"/>
      <c r="G188" s="34"/>
      <c r="H188" s="64"/>
      <c r="I188" s="134"/>
      <c r="J188" s="134"/>
      <c r="K188" s="13"/>
      <c r="L188" s="164"/>
      <c r="M188" s="134"/>
      <c r="N188" s="13"/>
      <c r="O188" s="27"/>
      <c r="P188" s="134"/>
      <c r="Q188" s="134"/>
    </row>
    <row r="189" spans="5:18" ht="12.75" customHeight="1" x14ac:dyDescent="0.25">
      <c r="F189" s="60"/>
      <c r="G189" s="34"/>
      <c r="H189" s="64"/>
      <c r="I189" s="136"/>
      <c r="J189" s="134"/>
      <c r="K189" s="13"/>
      <c r="L189" s="164"/>
      <c r="M189" s="134"/>
      <c r="N189" s="13"/>
      <c r="O189" s="27"/>
      <c r="P189" s="134"/>
      <c r="Q189" s="134"/>
    </row>
    <row r="190" spans="5:18" ht="12.75" customHeight="1" x14ac:dyDescent="0.25">
      <c r="F190" s="60"/>
      <c r="G190" s="34"/>
      <c r="H190" s="64"/>
      <c r="I190" s="134"/>
      <c r="J190" s="134"/>
      <c r="K190" s="13"/>
      <c r="L190" s="164"/>
      <c r="M190" s="134"/>
      <c r="N190" s="134"/>
      <c r="O190" s="134"/>
      <c r="P190" s="134"/>
      <c r="Q190" s="134"/>
    </row>
    <row r="191" spans="5:18" ht="12.75" customHeight="1" x14ac:dyDescent="0.25">
      <c r="F191" s="60"/>
      <c r="G191" s="34"/>
      <c r="H191" s="64"/>
      <c r="I191" s="64"/>
      <c r="J191" s="64"/>
      <c r="K191" s="64"/>
      <c r="L191" s="140"/>
      <c r="M191" s="64"/>
      <c r="N191" s="64"/>
      <c r="O191" s="64"/>
      <c r="P191" s="64"/>
      <c r="Q191" s="134"/>
    </row>
    <row r="192" spans="5:18" ht="16.95" customHeight="1" x14ac:dyDescent="0.25">
      <c r="F192" s="60"/>
      <c r="G192" s="34"/>
      <c r="H192" s="64"/>
      <c r="I192" s="134"/>
      <c r="J192" s="134"/>
      <c r="K192" s="136"/>
      <c r="L192" s="154"/>
      <c r="M192" s="134"/>
      <c r="N192" s="56"/>
      <c r="O192" s="136"/>
      <c r="P192" s="134"/>
      <c r="Q192" s="134"/>
    </row>
    <row r="193" spans="3:18" ht="12.75" customHeight="1" x14ac:dyDescent="0.25">
      <c r="C193" s="139"/>
      <c r="D193" s="139"/>
      <c r="F193" s="184"/>
      <c r="G193" s="185"/>
      <c r="H193" s="186"/>
      <c r="I193" s="186"/>
      <c r="J193" s="186"/>
      <c r="K193" s="186"/>
      <c r="L193" s="187"/>
      <c r="M193" s="186"/>
      <c r="N193" s="186"/>
      <c r="O193" s="186"/>
      <c r="P193" s="186"/>
      <c r="Q193" s="159"/>
      <c r="R193" s="195"/>
    </row>
    <row r="194" spans="3:18" ht="12.75" customHeight="1" x14ac:dyDescent="0.25">
      <c r="C194" s="139"/>
      <c r="D194" s="139"/>
      <c r="E194" s="154"/>
      <c r="F194" s="184"/>
      <c r="G194" s="188"/>
      <c r="H194" s="189"/>
      <c r="I194" s="189"/>
      <c r="J194" s="189"/>
      <c r="K194" s="189"/>
      <c r="L194" s="190"/>
      <c r="M194" s="189"/>
      <c r="N194" s="189"/>
      <c r="O194" s="189"/>
      <c r="P194" s="189"/>
      <c r="Q194" s="189"/>
      <c r="R194" s="195"/>
    </row>
    <row r="195" spans="3:18" ht="12.75" customHeight="1" x14ac:dyDescent="0.25">
      <c r="F195" s="184"/>
      <c r="G195" s="185"/>
      <c r="H195" s="191"/>
      <c r="I195" s="191"/>
      <c r="J195" s="191"/>
      <c r="K195" s="191"/>
      <c r="L195" s="191"/>
      <c r="M195" s="191"/>
      <c r="N195" s="191"/>
      <c r="O195" s="191"/>
      <c r="P195" s="191"/>
      <c r="Q195" s="192"/>
      <c r="R195" s="195"/>
    </row>
    <row r="196" spans="3:18" ht="12.75" customHeight="1" x14ac:dyDescent="0.25">
      <c r="F196" s="184"/>
      <c r="G196" s="185"/>
      <c r="H196" s="189"/>
      <c r="I196" s="189"/>
      <c r="J196" s="189"/>
      <c r="K196" s="189"/>
      <c r="L196" s="190"/>
      <c r="M196" s="189"/>
      <c r="N196" s="189"/>
      <c r="O196" s="189"/>
      <c r="P196" s="189"/>
      <c r="Q196" s="159"/>
      <c r="R196" s="195"/>
    </row>
    <row r="197" spans="3:18" ht="12.75" customHeight="1" x14ac:dyDescent="0.25">
      <c r="F197" s="184"/>
      <c r="G197" s="185"/>
      <c r="H197" s="192"/>
      <c r="I197" s="159"/>
      <c r="J197" s="159"/>
      <c r="K197" s="159"/>
      <c r="L197" s="185"/>
      <c r="M197" s="159"/>
      <c r="N197" s="159"/>
      <c r="O197" s="159"/>
      <c r="P197" s="159"/>
      <c r="Q197" s="159"/>
      <c r="R197" s="195"/>
    </row>
    <row r="198" spans="3:18" ht="12.75" customHeight="1" x14ac:dyDescent="0.25">
      <c r="F198" s="60"/>
      <c r="G198" s="34"/>
      <c r="H198" s="66"/>
      <c r="I198" s="66"/>
      <c r="J198" s="66"/>
      <c r="K198" s="66"/>
      <c r="L198" s="232"/>
      <c r="M198" s="66"/>
      <c r="N198" s="66"/>
      <c r="O198" s="66"/>
      <c r="P198" s="66"/>
      <c r="Q198" s="134"/>
    </row>
    <row r="199" spans="3:18" ht="12.75" customHeight="1" x14ac:dyDescent="0.25">
      <c r="F199" s="60"/>
      <c r="G199" s="34"/>
      <c r="H199" s="63"/>
      <c r="I199" s="134"/>
      <c r="J199" s="134"/>
      <c r="K199" s="134"/>
      <c r="M199" s="134"/>
      <c r="N199" s="134"/>
      <c r="O199" s="134"/>
      <c r="P199" s="134"/>
      <c r="Q199" s="134"/>
    </row>
    <row r="200" spans="3:18" ht="12.75" customHeight="1" x14ac:dyDescent="0.25">
      <c r="F200" s="60"/>
      <c r="G200" s="34"/>
      <c r="H200" s="67"/>
      <c r="I200" s="134"/>
      <c r="J200" s="134"/>
      <c r="K200" s="134"/>
      <c r="M200" s="134"/>
      <c r="N200" s="134"/>
      <c r="O200" s="134"/>
      <c r="P200" s="134"/>
      <c r="Q200" s="134"/>
    </row>
    <row r="201" spans="3:18" ht="12.75" customHeight="1" x14ac:dyDescent="0.25">
      <c r="F201" s="60"/>
      <c r="G201" s="34"/>
      <c r="H201" s="63"/>
      <c r="I201" s="134"/>
      <c r="J201" s="134"/>
      <c r="K201" s="134"/>
      <c r="M201" s="134"/>
      <c r="N201" s="134"/>
      <c r="O201" s="134"/>
      <c r="P201" s="134"/>
      <c r="Q201" s="134"/>
    </row>
    <row r="202" spans="3:18" ht="12.75" customHeight="1" x14ac:dyDescent="0.25">
      <c r="F202" s="60"/>
      <c r="G202" s="34"/>
      <c r="H202" s="63"/>
      <c r="I202" s="134"/>
      <c r="J202" s="134"/>
      <c r="K202" s="134"/>
      <c r="M202" s="134"/>
      <c r="N202" s="134"/>
      <c r="O202" s="134"/>
      <c r="P202" s="134"/>
      <c r="Q202" s="134"/>
    </row>
    <row r="203" spans="3:18" ht="12.75" customHeight="1" x14ac:dyDescent="0.25">
      <c r="F203" s="60"/>
      <c r="G203" s="34"/>
      <c r="H203" s="63"/>
      <c r="I203" s="134"/>
      <c r="J203" s="134"/>
      <c r="K203" s="134"/>
      <c r="M203" s="134"/>
      <c r="N203" s="134"/>
      <c r="O203" s="134"/>
      <c r="P203" s="134"/>
      <c r="Q203" s="134"/>
    </row>
    <row r="204" spans="3:18" ht="12.75" customHeight="1" x14ac:dyDescent="0.25">
      <c r="F204" s="60"/>
      <c r="G204" s="34"/>
      <c r="H204" s="63"/>
      <c r="I204" s="134"/>
      <c r="J204" s="134"/>
      <c r="K204" s="134"/>
      <c r="M204" s="134"/>
      <c r="N204" s="134"/>
      <c r="O204" s="134"/>
      <c r="P204" s="134"/>
      <c r="Q204" s="134"/>
    </row>
    <row r="205" spans="3:18" ht="12.75" customHeight="1" x14ac:dyDescent="0.25">
      <c r="F205" s="60"/>
      <c r="G205" s="34"/>
      <c r="H205" s="63"/>
    </row>
    <row r="206" spans="3:18" ht="12.75" customHeight="1" x14ac:dyDescent="0.25">
      <c r="F206" s="60"/>
      <c r="G206" s="34"/>
      <c r="H206" s="63"/>
    </row>
    <row r="207" spans="3:18" ht="12.75" customHeight="1" x14ac:dyDescent="0.25">
      <c r="F207" s="60"/>
      <c r="G207" s="34"/>
      <c r="H207" s="63"/>
    </row>
    <row r="208" spans="3:18" ht="12.75" customHeight="1" x14ac:dyDescent="0.25">
      <c r="F208" s="60"/>
      <c r="G208" s="34"/>
      <c r="H208" s="63"/>
    </row>
    <row r="209" spans="6:8" ht="12.75" customHeight="1" x14ac:dyDescent="0.25">
      <c r="F209" s="60"/>
      <c r="H209" s="63"/>
    </row>
    <row r="210" spans="6:8" ht="12.75" customHeight="1" x14ac:dyDescent="0.25">
      <c r="F210" s="60"/>
      <c r="H210" s="63"/>
    </row>
    <row r="211" spans="6:8" ht="12.75" customHeight="1" x14ac:dyDescent="0.25">
      <c r="F211" s="60"/>
      <c r="H211" s="63"/>
    </row>
    <row r="212" spans="6:8" ht="12.75" customHeight="1" x14ac:dyDescent="0.25">
      <c r="F212" s="60"/>
      <c r="H212" s="63"/>
    </row>
    <row r="213" spans="6:8" ht="12.75" customHeight="1" x14ac:dyDescent="0.25">
      <c r="F213" s="60"/>
      <c r="H213" s="63"/>
    </row>
    <row r="214" spans="6:8" ht="12.75" customHeight="1" x14ac:dyDescent="0.25">
      <c r="F214" s="60"/>
      <c r="H214" s="63"/>
    </row>
    <row r="215" spans="6:8" ht="12.75" customHeight="1" x14ac:dyDescent="0.25">
      <c r="F215" s="60"/>
      <c r="H215" s="63"/>
    </row>
    <row r="216" spans="6:8" ht="12.75" customHeight="1" x14ac:dyDescent="0.25">
      <c r="F216" s="60"/>
      <c r="H216" s="63"/>
    </row>
    <row r="217" spans="6:8" ht="12.75" customHeight="1" x14ac:dyDescent="0.25">
      <c r="F217" s="60"/>
      <c r="H217" s="63"/>
    </row>
    <row r="218" spans="6:8" ht="12.75" customHeight="1" x14ac:dyDescent="0.25">
      <c r="F218" s="60"/>
      <c r="H218" s="63"/>
    </row>
    <row r="219" spans="6:8" ht="12.75" customHeight="1" x14ac:dyDescent="0.25">
      <c r="F219" s="60"/>
      <c r="H219" s="63"/>
    </row>
    <row r="220" spans="6:8" ht="12.75" customHeight="1" x14ac:dyDescent="0.25">
      <c r="F220" s="60"/>
      <c r="H220" s="63"/>
    </row>
    <row r="221" spans="6:8" ht="12.75" customHeight="1" x14ac:dyDescent="0.25">
      <c r="F221" s="60"/>
      <c r="H221" s="63"/>
    </row>
    <row r="222" spans="6:8" ht="12.75" customHeight="1" x14ac:dyDescent="0.25">
      <c r="F222" s="60"/>
      <c r="H222" s="63"/>
    </row>
    <row r="223" spans="6:8" ht="12.75" customHeight="1" x14ac:dyDescent="0.25">
      <c r="F223" s="60"/>
      <c r="H223" s="63"/>
    </row>
    <row r="224" spans="6:8" ht="12.75" customHeight="1" x14ac:dyDescent="0.25">
      <c r="F224" s="60"/>
      <c r="H224" s="63"/>
    </row>
    <row r="225" spans="6:8" ht="12.75" customHeight="1" x14ac:dyDescent="0.25">
      <c r="F225" s="60"/>
      <c r="H225" s="63"/>
    </row>
    <row r="226" spans="6:8" ht="12.75" customHeight="1" x14ac:dyDescent="0.25">
      <c r="F226" s="60"/>
      <c r="H226" s="63"/>
    </row>
    <row r="227" spans="6:8" ht="12.75" customHeight="1" x14ac:dyDescent="0.25">
      <c r="F227" s="60"/>
      <c r="H227" s="63"/>
    </row>
    <row r="228" spans="6:8" ht="12.75" customHeight="1" x14ac:dyDescent="0.25">
      <c r="F228" s="60"/>
      <c r="H228" s="63"/>
    </row>
    <row r="229" spans="6:8" ht="12.75" customHeight="1" x14ac:dyDescent="0.25">
      <c r="F229" s="60"/>
      <c r="H229" s="63"/>
    </row>
    <row r="230" spans="6:8" ht="12.75" customHeight="1" x14ac:dyDescent="0.25">
      <c r="F230" s="60"/>
      <c r="H230" s="63"/>
    </row>
    <row r="231" spans="6:8" ht="12.75" customHeight="1" x14ac:dyDescent="0.25">
      <c r="F231" s="60"/>
      <c r="H231" s="63"/>
    </row>
    <row r="232" spans="6:8" ht="12.75" customHeight="1" x14ac:dyDescent="0.25">
      <c r="F232" s="60"/>
      <c r="H232" s="63"/>
    </row>
    <row r="233" spans="6:8" ht="12.75" customHeight="1" x14ac:dyDescent="0.25">
      <c r="F233" s="60"/>
      <c r="H233" s="63"/>
    </row>
    <row r="234" spans="6:8" ht="12.75" customHeight="1" x14ac:dyDescent="0.25">
      <c r="F234" s="60"/>
      <c r="H234" s="63"/>
    </row>
    <row r="235" spans="6:8" ht="12.75" customHeight="1" x14ac:dyDescent="0.25">
      <c r="F235" s="60"/>
      <c r="H235" s="63"/>
    </row>
    <row r="236" spans="6:8" ht="12.75" customHeight="1" x14ac:dyDescent="0.25">
      <c r="F236" s="60"/>
      <c r="H236" s="63"/>
    </row>
    <row r="237" spans="6:8" ht="12.75" customHeight="1" x14ac:dyDescent="0.25">
      <c r="F237" s="60"/>
      <c r="H237" s="63"/>
    </row>
    <row r="238" spans="6:8" ht="12.75" customHeight="1" x14ac:dyDescent="0.25">
      <c r="F238" s="60"/>
      <c r="H238" s="63"/>
    </row>
    <row r="239" spans="6:8" ht="12.75" customHeight="1" x14ac:dyDescent="0.25">
      <c r="F239" s="60"/>
      <c r="H239" s="63"/>
    </row>
    <row r="240" spans="6:8" ht="12.75" customHeight="1" x14ac:dyDescent="0.25">
      <c r="F240" s="60"/>
      <c r="H240" s="63"/>
    </row>
    <row r="241" spans="6:8" ht="12.75" customHeight="1" x14ac:dyDescent="0.25">
      <c r="F241" s="60"/>
      <c r="H241" s="63"/>
    </row>
    <row r="242" spans="6:8" ht="12.75" customHeight="1" x14ac:dyDescent="0.25">
      <c r="F242" s="60"/>
      <c r="H242" s="63"/>
    </row>
    <row r="243" spans="6:8" ht="12.75" customHeight="1" x14ac:dyDescent="0.25">
      <c r="F243" s="60"/>
      <c r="H243" s="63"/>
    </row>
    <row r="244" spans="6:8" ht="12.75" customHeight="1" x14ac:dyDescent="0.25">
      <c r="F244" s="60"/>
      <c r="H244" s="63"/>
    </row>
    <row r="245" spans="6:8" ht="12.75" customHeight="1" x14ac:dyDescent="0.25">
      <c r="F245" s="60"/>
      <c r="H245" s="63"/>
    </row>
    <row r="246" spans="6:8" ht="12.75" customHeight="1" x14ac:dyDescent="0.25">
      <c r="F246" s="60"/>
      <c r="H246" s="63"/>
    </row>
    <row r="247" spans="6:8" ht="12.75" customHeight="1" x14ac:dyDescent="0.25">
      <c r="F247" s="60"/>
      <c r="H247" s="63"/>
    </row>
    <row r="248" spans="6:8" ht="12.75" customHeight="1" x14ac:dyDescent="0.25">
      <c r="F248" s="60"/>
      <c r="H248" s="63"/>
    </row>
    <row r="249" spans="6:8" ht="12.75" customHeight="1" x14ac:dyDescent="0.25">
      <c r="F249" s="60"/>
      <c r="H249" s="63"/>
    </row>
    <row r="250" spans="6:8" ht="12.75" customHeight="1" x14ac:dyDescent="0.25">
      <c r="H250" s="63"/>
    </row>
    <row r="251" spans="6:8" ht="12.75" customHeight="1" x14ac:dyDescent="0.25">
      <c r="H251" s="63"/>
    </row>
    <row r="252" spans="6:8" ht="12.75" customHeight="1" x14ac:dyDescent="0.25">
      <c r="H252" s="63"/>
    </row>
    <row r="253" spans="6:8" ht="12.75" customHeight="1" x14ac:dyDescent="0.25">
      <c r="H253" s="63"/>
    </row>
    <row r="254" spans="6:8" ht="12.75" customHeight="1" x14ac:dyDescent="0.25">
      <c r="H254" s="63"/>
    </row>
    <row r="255" spans="6:8" ht="12.75" customHeight="1" x14ac:dyDescent="0.25">
      <c r="H255" s="63"/>
    </row>
    <row r="256" spans="6:8" ht="12.75" customHeight="1" x14ac:dyDescent="0.25">
      <c r="H256" s="63"/>
    </row>
    <row r="257" spans="8:13" ht="12.75" customHeight="1" x14ac:dyDescent="0.25">
      <c r="H257" s="63"/>
    </row>
    <row r="258" spans="8:13" ht="12.75" customHeight="1" x14ac:dyDescent="0.25">
      <c r="H258" s="63"/>
    </row>
    <row r="259" spans="8:13" ht="12.75" customHeight="1" x14ac:dyDescent="0.25">
      <c r="H259" s="63"/>
    </row>
    <row r="260" spans="8:13" ht="12.75" customHeight="1" x14ac:dyDescent="0.25">
      <c r="H260" s="63"/>
    </row>
    <row r="261" spans="8:13" ht="12.75" customHeight="1" x14ac:dyDescent="0.25">
      <c r="H261" s="63"/>
    </row>
    <row r="262" spans="8:13" ht="12.75" customHeight="1" x14ac:dyDescent="0.25">
      <c r="H262" s="63"/>
    </row>
    <row r="263" spans="8:13" ht="12.75" customHeight="1" x14ac:dyDescent="0.25">
      <c r="H263" s="63"/>
    </row>
    <row r="264" spans="8:13" ht="12.75" customHeight="1" x14ac:dyDescent="0.25">
      <c r="H264" s="63"/>
    </row>
    <row r="265" spans="8:13" ht="12.75" customHeight="1" x14ac:dyDescent="0.25">
      <c r="H265" s="63"/>
    </row>
    <row r="266" spans="8:13" ht="12.75" customHeight="1" x14ac:dyDescent="0.25">
      <c r="H266" s="63"/>
    </row>
    <row r="267" spans="8:13" ht="12.75" customHeight="1" x14ac:dyDescent="0.25">
      <c r="H267" s="63"/>
    </row>
    <row r="268" spans="8:13" ht="12.75" customHeight="1" x14ac:dyDescent="0.25">
      <c r="H268" s="63"/>
    </row>
    <row r="269" spans="8:13" ht="12.75" customHeight="1" x14ac:dyDescent="0.25">
      <c r="H269" s="63"/>
      <c r="I269" s="134"/>
      <c r="J269" s="134"/>
      <c r="K269" s="134"/>
      <c r="M269" s="134"/>
    </row>
    <row r="270" spans="8:13" ht="12.75" customHeight="1" x14ac:dyDescent="0.25">
      <c r="H270" s="63"/>
      <c r="I270" s="134"/>
      <c r="J270" s="134"/>
      <c r="K270" s="134"/>
      <c r="M270" s="134"/>
    </row>
    <row r="271" spans="8:13" ht="12.75" customHeight="1" x14ac:dyDescent="0.25">
      <c r="H271" s="63"/>
      <c r="I271" s="134"/>
      <c r="J271" s="134"/>
      <c r="K271" s="134"/>
      <c r="M271" s="134"/>
    </row>
    <row r="272" spans="8:13" ht="12.75" customHeight="1" x14ac:dyDescent="0.25">
      <c r="H272" s="63"/>
      <c r="I272" s="134"/>
      <c r="J272" s="134"/>
      <c r="K272" s="134"/>
      <c r="M272" s="134"/>
    </row>
    <row r="273" spans="8:13" ht="12.75" customHeight="1" x14ac:dyDescent="0.25">
      <c r="H273" s="63"/>
      <c r="I273" s="134"/>
      <c r="J273" s="134"/>
      <c r="K273" s="134"/>
      <c r="M273" s="134"/>
    </row>
    <row r="274" spans="8:13" ht="12.75" customHeight="1" x14ac:dyDescent="0.25">
      <c r="H274" s="63"/>
      <c r="I274" s="134"/>
      <c r="J274" s="134"/>
      <c r="K274" s="134"/>
      <c r="M274" s="134"/>
    </row>
    <row r="275" spans="8:13" ht="12.75" customHeight="1" x14ac:dyDescent="0.25">
      <c r="H275" s="63"/>
      <c r="I275" s="134"/>
      <c r="J275" s="134"/>
      <c r="K275" s="134"/>
      <c r="M275" s="134"/>
    </row>
    <row r="276" spans="8:13" ht="12.75" customHeight="1" x14ac:dyDescent="0.25">
      <c r="H276" s="63"/>
      <c r="I276" s="134"/>
      <c r="J276" s="134"/>
      <c r="K276" s="134"/>
      <c r="M276" s="13"/>
    </row>
    <row r="277" spans="8:13" ht="12.75" customHeight="1" x14ac:dyDescent="0.25">
      <c r="H277" s="63"/>
      <c r="I277" s="134"/>
      <c r="J277" s="134"/>
      <c r="K277" s="134"/>
      <c r="M277" s="134"/>
    </row>
    <row r="278" spans="8:13" ht="12.75" customHeight="1" x14ac:dyDescent="0.25">
      <c r="H278" s="63"/>
      <c r="I278" s="134"/>
      <c r="J278" s="134"/>
      <c r="K278" s="134"/>
      <c r="M278" s="134"/>
    </row>
    <row r="279" spans="8:13" ht="12.75" customHeight="1" x14ac:dyDescent="0.25">
      <c r="H279" s="63"/>
      <c r="I279" s="134"/>
      <c r="J279" s="134"/>
      <c r="K279" s="134"/>
      <c r="M279" s="134"/>
    </row>
    <row r="280" spans="8:13" ht="12.75" customHeight="1" x14ac:dyDescent="0.25">
      <c r="H280" s="63"/>
      <c r="I280" s="134"/>
      <c r="J280" s="134"/>
      <c r="K280" s="134"/>
      <c r="M280" s="134"/>
    </row>
    <row r="281" spans="8:13" ht="12.75" customHeight="1" x14ac:dyDescent="0.25">
      <c r="H281" s="63"/>
      <c r="I281" s="134"/>
      <c r="J281" s="134"/>
      <c r="K281" s="134"/>
      <c r="M281" s="134"/>
    </row>
    <row r="282" spans="8:13" ht="12.75" customHeight="1" x14ac:dyDescent="0.25">
      <c r="H282" s="63"/>
      <c r="I282" s="134"/>
      <c r="J282" s="134"/>
      <c r="K282" s="134"/>
      <c r="M282" s="134"/>
    </row>
    <row r="283" spans="8:13" ht="12.75" customHeight="1" x14ac:dyDescent="0.25">
      <c r="H283" s="63"/>
      <c r="I283" s="134"/>
      <c r="J283" s="134"/>
      <c r="K283" s="134"/>
      <c r="M283" s="134"/>
    </row>
    <row r="284" spans="8:13" ht="12.75" customHeight="1" x14ac:dyDescent="0.25">
      <c r="H284" s="63"/>
      <c r="I284" s="134"/>
      <c r="J284" s="134"/>
      <c r="K284" s="134"/>
      <c r="M284" s="134"/>
    </row>
    <row r="285" spans="8:13" ht="12.75" customHeight="1" x14ac:dyDescent="0.25">
      <c r="H285" s="63"/>
    </row>
    <row r="286" spans="8:13" ht="12.75" customHeight="1" x14ac:dyDescent="0.25">
      <c r="H286" s="63"/>
    </row>
    <row r="287" spans="8:13" ht="12.75" customHeight="1" x14ac:dyDescent="0.25">
      <c r="H287" s="63"/>
    </row>
    <row r="288" spans="8:13" ht="12.75" customHeight="1" x14ac:dyDescent="0.25">
      <c r="H288" s="63"/>
    </row>
    <row r="289" spans="8:8" ht="12.75" customHeight="1" x14ac:dyDescent="0.25">
      <c r="H289" s="63"/>
    </row>
    <row r="290" spans="8:8" ht="12.75" customHeight="1" x14ac:dyDescent="0.25">
      <c r="H290" s="63"/>
    </row>
    <row r="291" spans="8:8" ht="12.75" customHeight="1" x14ac:dyDescent="0.25">
      <c r="H291" s="63"/>
    </row>
    <row r="292" spans="8:8" ht="12.75" customHeight="1" x14ac:dyDescent="0.25">
      <c r="H292" s="63"/>
    </row>
    <row r="293" spans="8:8" ht="12.75" customHeight="1" x14ac:dyDescent="0.25">
      <c r="H293" s="63"/>
    </row>
    <row r="294" spans="8:8" ht="12.75" customHeight="1" x14ac:dyDescent="0.25">
      <c r="H294" s="63"/>
    </row>
    <row r="295" spans="8:8" ht="12.75" customHeight="1" x14ac:dyDescent="0.25">
      <c r="H295" s="63"/>
    </row>
    <row r="296" spans="8:8" ht="12.75" customHeight="1" x14ac:dyDescent="0.25">
      <c r="H296" s="63"/>
    </row>
    <row r="297" spans="8:8" ht="12.75" customHeight="1" x14ac:dyDescent="0.25">
      <c r="H297" s="63"/>
    </row>
    <row r="298" spans="8:8" ht="12.75" customHeight="1" x14ac:dyDescent="0.25">
      <c r="H298" s="63"/>
    </row>
    <row r="299" spans="8:8" ht="12.75" customHeight="1" x14ac:dyDescent="0.25">
      <c r="H299" s="63"/>
    </row>
    <row r="300" spans="8:8" ht="12.75" customHeight="1" x14ac:dyDescent="0.25">
      <c r="H300" s="63"/>
    </row>
    <row r="301" spans="8:8" ht="12.75" customHeight="1" x14ac:dyDescent="0.25">
      <c r="H301" s="63"/>
    </row>
    <row r="302" spans="8:8" ht="12.75" customHeight="1" x14ac:dyDescent="0.25">
      <c r="H302" s="63"/>
    </row>
    <row r="303" spans="8:8" ht="12.75" customHeight="1" x14ac:dyDescent="0.25">
      <c r="H303" s="63"/>
    </row>
    <row r="304" spans="8:8" ht="12.75" customHeight="1" x14ac:dyDescent="0.25">
      <c r="H304" s="63"/>
    </row>
    <row r="305" spans="8:8" ht="12.75" customHeight="1" x14ac:dyDescent="0.25">
      <c r="H305" s="63"/>
    </row>
    <row r="306" spans="8:8" ht="12.75" customHeight="1" x14ac:dyDescent="0.25">
      <c r="H306" s="63"/>
    </row>
    <row r="307" spans="8:8" ht="12.75" customHeight="1" x14ac:dyDescent="0.25">
      <c r="H307" s="63"/>
    </row>
    <row r="308" spans="8:8" ht="12.75" customHeight="1" x14ac:dyDescent="0.25">
      <c r="H308" s="63"/>
    </row>
    <row r="309" spans="8:8" ht="12.75" customHeight="1" x14ac:dyDescent="0.25">
      <c r="H309" s="63"/>
    </row>
    <row r="310" spans="8:8" ht="12.75" customHeight="1" x14ac:dyDescent="0.25">
      <c r="H310" s="63"/>
    </row>
    <row r="311" spans="8:8" ht="12.75" customHeight="1" x14ac:dyDescent="0.25">
      <c r="H311" s="63"/>
    </row>
    <row r="312" spans="8:8" ht="12.75" customHeight="1" x14ac:dyDescent="0.25">
      <c r="H312" s="63"/>
    </row>
    <row r="313" spans="8:8" ht="12.75" customHeight="1" x14ac:dyDescent="0.25">
      <c r="H313" s="63"/>
    </row>
    <row r="314" spans="8:8" ht="12.75" customHeight="1" x14ac:dyDescent="0.25">
      <c r="H314" s="63"/>
    </row>
    <row r="315" spans="8:8" ht="12.75" customHeight="1" x14ac:dyDescent="0.25">
      <c r="H315" s="63"/>
    </row>
    <row r="316" spans="8:8" ht="12.75" customHeight="1" x14ac:dyDescent="0.25">
      <c r="H316" s="63"/>
    </row>
    <row r="317" spans="8:8" ht="12.75" customHeight="1" x14ac:dyDescent="0.25">
      <c r="H317" s="63"/>
    </row>
    <row r="318" spans="8:8" ht="12.75" customHeight="1" x14ac:dyDescent="0.25">
      <c r="H318" s="63"/>
    </row>
    <row r="319" spans="8:8" ht="12.75" customHeight="1" x14ac:dyDescent="0.25">
      <c r="H319" s="63"/>
    </row>
    <row r="320" spans="8:8" ht="12.75" customHeight="1" x14ac:dyDescent="0.25">
      <c r="H320" s="63"/>
    </row>
    <row r="321" spans="8:8" ht="12.75" customHeight="1" x14ac:dyDescent="0.25">
      <c r="H321" s="63"/>
    </row>
    <row r="322" spans="8:8" ht="12.75" customHeight="1" x14ac:dyDescent="0.25">
      <c r="H322" s="63"/>
    </row>
    <row r="323" spans="8:8" ht="12.75" customHeight="1" x14ac:dyDescent="0.25">
      <c r="H323" s="63"/>
    </row>
    <row r="324" spans="8:8" ht="12.75" customHeight="1" x14ac:dyDescent="0.25">
      <c r="H324" s="63"/>
    </row>
    <row r="325" spans="8:8" ht="12.75" customHeight="1" x14ac:dyDescent="0.25">
      <c r="H325" s="63"/>
    </row>
    <row r="326" spans="8:8" ht="12.75" customHeight="1" x14ac:dyDescent="0.25">
      <c r="H326" s="63"/>
    </row>
    <row r="327" spans="8:8" ht="12.75" customHeight="1" x14ac:dyDescent="0.25">
      <c r="H327" s="63"/>
    </row>
    <row r="328" spans="8:8" ht="12.75" customHeight="1" x14ac:dyDescent="0.25">
      <c r="H328" s="63"/>
    </row>
    <row r="329" spans="8:8" ht="12.75" customHeight="1" x14ac:dyDescent="0.25">
      <c r="H329" s="63"/>
    </row>
    <row r="330" spans="8:8" ht="12.75" customHeight="1" x14ac:dyDescent="0.25">
      <c r="H330" s="63"/>
    </row>
    <row r="331" spans="8:8" ht="12.75" customHeight="1" x14ac:dyDescent="0.25">
      <c r="H331" s="63"/>
    </row>
    <row r="332" spans="8:8" ht="12.75" customHeight="1" x14ac:dyDescent="0.25">
      <c r="H332" s="63"/>
    </row>
    <row r="333" spans="8:8" ht="12.75" customHeight="1" x14ac:dyDescent="0.25">
      <c r="H333" s="63"/>
    </row>
    <row r="334" spans="8:8" ht="12.75" customHeight="1" x14ac:dyDescent="0.25">
      <c r="H334" s="63"/>
    </row>
    <row r="335" spans="8:8" ht="12.75" customHeight="1" x14ac:dyDescent="0.25">
      <c r="H335" s="63"/>
    </row>
    <row r="336" spans="8:8" ht="12.75" customHeight="1" x14ac:dyDescent="0.25">
      <c r="H336" s="63"/>
    </row>
    <row r="337" spans="8:8" ht="12.75" customHeight="1" x14ac:dyDescent="0.25">
      <c r="H337" s="63"/>
    </row>
    <row r="338" spans="8:8" ht="12.75" customHeight="1" x14ac:dyDescent="0.25">
      <c r="H338" s="63"/>
    </row>
    <row r="339" spans="8:8" ht="12.75" customHeight="1" x14ac:dyDescent="0.25">
      <c r="H339" s="63"/>
    </row>
    <row r="340" spans="8:8" ht="12.75" customHeight="1" x14ac:dyDescent="0.25">
      <c r="H340" s="63"/>
    </row>
    <row r="341" spans="8:8" ht="12.75" customHeight="1" x14ac:dyDescent="0.25">
      <c r="H341" s="63"/>
    </row>
    <row r="342" spans="8:8" ht="12.75" customHeight="1" x14ac:dyDescent="0.25">
      <c r="H342" s="63"/>
    </row>
    <row r="343" spans="8:8" ht="12.75" customHeight="1" x14ac:dyDescent="0.25">
      <c r="H343" s="63"/>
    </row>
    <row r="344" spans="8:8" ht="12.75" customHeight="1" x14ac:dyDescent="0.25">
      <c r="H344" s="63"/>
    </row>
    <row r="345" spans="8:8" ht="12.75" customHeight="1" x14ac:dyDescent="0.25">
      <c r="H345" s="63"/>
    </row>
    <row r="346" spans="8:8" ht="12.75" customHeight="1" x14ac:dyDescent="0.25">
      <c r="H346" s="63"/>
    </row>
    <row r="347" spans="8:8" ht="12.75" customHeight="1" x14ac:dyDescent="0.25">
      <c r="H347" s="63"/>
    </row>
    <row r="348" spans="8:8" ht="12.75" customHeight="1" x14ac:dyDescent="0.25">
      <c r="H348" s="63"/>
    </row>
    <row r="349" spans="8:8" ht="12.75" customHeight="1" x14ac:dyDescent="0.25">
      <c r="H349" s="63"/>
    </row>
    <row r="350" spans="8:8" ht="12.75" customHeight="1" x14ac:dyDescent="0.25">
      <c r="H350" s="63"/>
    </row>
    <row r="351" spans="8:8" ht="12.75" customHeight="1" x14ac:dyDescent="0.25">
      <c r="H351" s="63"/>
    </row>
    <row r="352" spans="8:8" ht="12.75" customHeight="1" x14ac:dyDescent="0.25">
      <c r="H352" s="63"/>
    </row>
    <row r="353" spans="8:8" ht="12.75" customHeight="1" x14ac:dyDescent="0.25">
      <c r="H353" s="63"/>
    </row>
    <row r="354" spans="8:8" ht="12.75" customHeight="1" x14ac:dyDescent="0.25">
      <c r="H354" s="63"/>
    </row>
  </sheetData>
  <sheetProtection algorithmName="SHA-512" hashValue="s+hoeNhOhB7dcoKPUCBtii0d6bhq3Qvgx0u/L2W5fZiEetxVotkA/RThLqu/rQUgwHINUki7cb+teBoaXWaC7Q==" saltValue="kVqg3XTvtqo5AIXfWCLXew==" spinCount="100000" sheet="1" objects="1" scenarios="1"/>
  <autoFilter ref="Q1:Q167" xr:uid="{00000000-0009-0000-0000-000004000000}">
    <filterColumn colId="0">
      <customFilters>
        <customFilter operator="notEqual" val=" "/>
      </customFilters>
    </filterColumn>
  </autoFilter>
  <sortState xmlns:xlrd2="http://schemas.microsoft.com/office/spreadsheetml/2017/richdata2" ref="B37:P44">
    <sortCondition ref="C37:C44"/>
  </sortState>
  <mergeCells count="13">
    <mergeCell ref="B2:H2"/>
    <mergeCell ref="I9:J9"/>
    <mergeCell ref="I5:J5"/>
    <mergeCell ref="I6:J6"/>
    <mergeCell ref="I7:J7"/>
    <mergeCell ref="I8:J8"/>
    <mergeCell ref="I10:J10"/>
    <mergeCell ref="L10:M10"/>
    <mergeCell ref="L9:M9"/>
    <mergeCell ref="L6:M6"/>
    <mergeCell ref="L7:M7"/>
    <mergeCell ref="L8:M8"/>
    <mergeCell ref="L5:M5"/>
  </mergeCells>
  <phoneticPr fontId="0" type="noConversion"/>
  <printOptions horizontalCentered="1"/>
  <pageMargins left="0" right="0" top="0.5" bottom="0.5" header="0" footer="0"/>
  <pageSetup scale="68" fitToWidth="0" fitToHeight="0" orientation="landscape" horizontalDpi="4294967293" verticalDpi="300" r:id="rId1"/>
  <headerFooter alignWithMargins="0"/>
  <rowBreaks count="3" manualBreakCount="3">
    <brk id="48" max="18" man="1"/>
    <brk id="99" max="18" man="1"/>
    <brk id="144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filterMode="1">
    <pageSetUpPr fitToPage="1"/>
  </sheetPr>
  <dimension ref="A1:AA266"/>
  <sheetViews>
    <sheetView topLeftCell="B1" zoomScaleNormal="100" workbookViewId="0">
      <pane xSplit="22" ySplit="8" topLeftCell="X9" activePane="bottomRight" state="frozen"/>
      <selection pane="topRight" activeCell="X1" sqref="X1"/>
      <selection pane="bottomLeft" activeCell="B9" sqref="B9"/>
      <selection pane="bottomRight" activeCell="B1" sqref="B1"/>
    </sheetView>
  </sheetViews>
  <sheetFormatPr defaultColWidth="9.33203125" defaultRowHeight="13.2" x14ac:dyDescent="0.25"/>
  <cols>
    <col min="1" max="1" width="6.6640625" style="1" hidden="1" customWidth="1"/>
    <col min="2" max="2" width="4" style="110" bestFit="1" customWidth="1"/>
    <col min="3" max="3" width="5" style="110" customWidth="1"/>
    <col min="4" max="4" width="5" style="110" bestFit="1" customWidth="1"/>
    <col min="5" max="5" width="4" style="110" bestFit="1" customWidth="1"/>
    <col min="6" max="6" width="34" style="110" customWidth="1"/>
    <col min="7" max="7" width="8.6640625" style="1" hidden="1" customWidth="1"/>
    <col min="8" max="8" width="0.6640625" style="110" customWidth="1"/>
    <col min="9" max="9" width="10.6640625" style="110" customWidth="1"/>
    <col min="10" max="10" width="0.6640625" style="1" hidden="1" customWidth="1"/>
    <col min="11" max="11" width="8.6640625" style="1" hidden="1" customWidth="1"/>
    <col min="12" max="12" width="0.6640625" style="110" customWidth="1"/>
    <col min="13" max="13" width="10.6640625" style="110" customWidth="1"/>
    <col min="14" max="14" width="0.6640625" style="110" customWidth="1"/>
    <col min="15" max="15" width="10.6640625" style="110" customWidth="1"/>
    <col min="16" max="16" width="0.6640625" style="110" customWidth="1"/>
    <col min="17" max="19" width="10.6640625" style="110" customWidth="1"/>
    <col min="20" max="22" width="11" style="1" hidden="1" customWidth="1"/>
    <col min="23" max="23" width="1" style="110" customWidth="1"/>
    <col min="24" max="24" width="47.5546875" style="110" bestFit="1" customWidth="1"/>
    <col min="25" max="25" width="4.44140625" style="1" hidden="1" customWidth="1"/>
    <col min="26" max="26" width="4.6640625" style="110" bestFit="1" customWidth="1"/>
    <col min="27" max="16384" width="9.33203125" style="110"/>
  </cols>
  <sheetData>
    <row r="1" spans="1:27" x14ac:dyDescent="0.25">
      <c r="A1" s="129"/>
      <c r="B1" s="174" t="str">
        <f>Budget!B1</f>
        <v>PALM BAY ELEMENTARY/ PALM BAY PREPARATORY ACADEMY</v>
      </c>
      <c r="C1" s="239"/>
      <c r="D1" s="174"/>
      <c r="E1" s="174"/>
      <c r="F1" s="174"/>
      <c r="G1" s="47"/>
      <c r="J1" s="129"/>
      <c r="K1" s="47"/>
      <c r="T1" s="129"/>
      <c r="U1" s="129"/>
      <c r="V1" s="129"/>
      <c r="Y1" s="129" t="s">
        <v>2</v>
      </c>
    </row>
    <row r="2" spans="1:27" x14ac:dyDescent="0.25">
      <c r="A2" s="129"/>
      <c r="B2" s="174" t="s">
        <v>233</v>
      </c>
      <c r="C2" s="239"/>
      <c r="D2" s="174"/>
      <c r="E2" s="174"/>
      <c r="F2" s="174"/>
      <c r="G2" s="47"/>
      <c r="J2" s="129"/>
      <c r="K2" s="47"/>
      <c r="T2" s="129"/>
      <c r="U2" s="129"/>
      <c r="V2" s="129"/>
      <c r="Y2" s="129" t="s">
        <v>2</v>
      </c>
    </row>
    <row r="3" spans="1:27" s="1" customFormat="1" ht="17.25" hidden="1" customHeight="1" x14ac:dyDescent="0.25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 t="s">
        <v>103</v>
      </c>
      <c r="Z3" s="129"/>
      <c r="AA3" s="129"/>
    </row>
    <row r="4" spans="1:27" x14ac:dyDescent="0.25">
      <c r="A4" s="129"/>
      <c r="G4" s="129"/>
      <c r="J4" s="129"/>
      <c r="K4" s="129"/>
      <c r="T4" s="129"/>
      <c r="U4" s="129"/>
      <c r="V4" s="129"/>
      <c r="Y4" s="129" t="s">
        <v>2</v>
      </c>
    </row>
    <row r="5" spans="1:27" x14ac:dyDescent="0.25">
      <c r="A5" s="129"/>
      <c r="G5" s="129"/>
      <c r="J5" s="129"/>
      <c r="K5" s="129"/>
      <c r="O5" s="196"/>
      <c r="Q5" s="196"/>
      <c r="R5" s="196"/>
      <c r="S5" s="196"/>
      <c r="T5" s="116"/>
      <c r="U5" s="116"/>
      <c r="V5" s="116"/>
      <c r="Y5" s="129" t="s">
        <v>2</v>
      </c>
    </row>
    <row r="6" spans="1:27" x14ac:dyDescent="0.25">
      <c r="A6" s="129"/>
      <c r="G6" s="116" t="s">
        <v>13</v>
      </c>
      <c r="H6" s="196"/>
      <c r="I6" s="197" t="s">
        <v>13</v>
      </c>
      <c r="J6" s="116"/>
      <c r="K6" s="116" t="s">
        <v>14</v>
      </c>
      <c r="L6" s="202"/>
      <c r="M6" s="197" t="s">
        <v>14</v>
      </c>
      <c r="N6" s="197"/>
      <c r="O6" s="197" t="s">
        <v>105</v>
      </c>
      <c r="P6" s="203"/>
      <c r="Q6" s="197" t="s">
        <v>105</v>
      </c>
      <c r="R6" s="197" t="s">
        <v>13</v>
      </c>
      <c r="S6" s="197" t="s">
        <v>14</v>
      </c>
      <c r="T6" s="116"/>
      <c r="U6" s="116"/>
      <c r="V6" s="116"/>
      <c r="Y6" s="129" t="s">
        <v>2</v>
      </c>
    </row>
    <row r="7" spans="1:27" s="151" customFormat="1" ht="12.75" customHeight="1" x14ac:dyDescent="0.25">
      <c r="A7" s="4"/>
      <c r="G7" s="7" t="s">
        <v>234</v>
      </c>
      <c r="H7" s="198"/>
      <c r="I7" s="199" t="s">
        <v>102</v>
      </c>
      <c r="J7" s="7"/>
      <c r="K7" s="7" t="s">
        <v>234</v>
      </c>
      <c r="L7" s="199"/>
      <c r="M7" s="199" t="s">
        <v>102</v>
      </c>
      <c r="N7" s="199"/>
      <c r="O7" s="199" t="s">
        <v>102</v>
      </c>
      <c r="P7" s="203"/>
      <c r="Q7" s="197" t="s">
        <v>107</v>
      </c>
      <c r="R7" s="197" t="s">
        <v>107</v>
      </c>
      <c r="S7" s="197" t="s">
        <v>107</v>
      </c>
      <c r="T7" s="7"/>
      <c r="U7" s="7"/>
      <c r="V7" s="7"/>
      <c r="X7" s="198" t="s">
        <v>108</v>
      </c>
      <c r="Y7" s="129" t="s">
        <v>2</v>
      </c>
    </row>
    <row r="8" spans="1:27" x14ac:dyDescent="0.25">
      <c r="A8" s="134"/>
      <c r="B8" s="108"/>
      <c r="C8" s="108"/>
      <c r="D8" s="108"/>
      <c r="E8" s="108"/>
      <c r="F8" s="108"/>
      <c r="G8" s="55" t="s">
        <v>107</v>
      </c>
      <c r="H8" s="200"/>
      <c r="I8" s="144" t="s">
        <v>329</v>
      </c>
      <c r="J8" s="7"/>
      <c r="K8" s="55" t="s">
        <v>107</v>
      </c>
      <c r="L8" s="204"/>
      <c r="M8" s="144" t="s">
        <v>329</v>
      </c>
      <c r="N8" s="199"/>
      <c r="O8" s="144" t="s">
        <v>329</v>
      </c>
      <c r="P8" s="205"/>
      <c r="Q8" s="144" t="s">
        <v>374</v>
      </c>
      <c r="R8" s="144" t="s">
        <v>374</v>
      </c>
      <c r="S8" s="144" t="s">
        <v>374</v>
      </c>
      <c r="T8" s="58"/>
      <c r="U8" s="58"/>
      <c r="V8" s="58"/>
      <c r="W8" s="121"/>
      <c r="X8" s="121"/>
      <c r="Y8" s="129" t="s">
        <v>2</v>
      </c>
    </row>
    <row r="9" spans="1:27" x14ac:dyDescent="0.25">
      <c r="A9" s="129"/>
      <c r="B9" s="108"/>
      <c r="C9" s="108"/>
      <c r="D9" s="108"/>
      <c r="E9" s="108"/>
      <c r="F9" s="108"/>
      <c r="G9" s="55"/>
      <c r="H9" s="200"/>
      <c r="I9" s="144"/>
      <c r="J9" s="7"/>
      <c r="K9" s="55"/>
      <c r="L9" s="204"/>
      <c r="M9" s="144"/>
      <c r="N9" s="199"/>
      <c r="O9" s="144"/>
      <c r="P9" s="205"/>
      <c r="Q9" s="201"/>
      <c r="R9" s="144"/>
      <c r="S9" s="144"/>
      <c r="T9" s="58"/>
      <c r="U9" s="58"/>
      <c r="V9" s="58"/>
      <c r="W9" s="121"/>
      <c r="X9" s="121"/>
      <c r="Y9" s="129" t="s">
        <v>2</v>
      </c>
    </row>
    <row r="10" spans="1:27" s="153" customFormat="1" x14ac:dyDescent="0.25">
      <c r="A10" s="222"/>
      <c r="B10" s="223" t="s">
        <v>15</v>
      </c>
      <c r="C10" s="224"/>
      <c r="D10" s="224"/>
      <c r="E10" s="224"/>
      <c r="F10" s="224"/>
      <c r="G10" s="224"/>
      <c r="H10" s="224"/>
      <c r="I10" s="225">
        <f>'Revenue Input'!O73</f>
        <v>280.17</v>
      </c>
      <c r="J10" s="225"/>
      <c r="K10" s="225"/>
      <c r="L10" s="225"/>
      <c r="M10" s="225">
        <f>'Revenue Input'!O77</f>
        <v>204.95</v>
      </c>
      <c r="N10" s="225"/>
      <c r="O10" s="225">
        <f>+EnrOld</f>
        <v>485.12</v>
      </c>
      <c r="P10" s="225"/>
      <c r="Q10" s="225">
        <f>+EnrNew</f>
        <v>530</v>
      </c>
      <c r="R10" s="225">
        <f>'Revenue Input'!O74</f>
        <v>300</v>
      </c>
      <c r="S10" s="225">
        <f>'Revenue Input'!O78</f>
        <v>230</v>
      </c>
      <c r="T10" s="145"/>
      <c r="U10" s="145"/>
      <c r="V10" s="145"/>
      <c r="W10" s="145"/>
      <c r="X10" s="116"/>
      <c r="Y10" s="129" t="s">
        <v>2</v>
      </c>
    </row>
    <row r="11" spans="1:27" s="1" customFormat="1" x14ac:dyDescent="0.25">
      <c r="A11" s="34"/>
      <c r="B11" s="108"/>
      <c r="C11" s="108"/>
      <c r="D11" s="108"/>
      <c r="E11" s="108"/>
      <c r="F11" s="108"/>
      <c r="G11" s="25"/>
      <c r="H11" s="34"/>
      <c r="I11" s="14"/>
      <c r="J11" s="14"/>
      <c r="K11" s="25"/>
      <c r="L11" s="34"/>
      <c r="M11" s="14"/>
      <c r="N11" s="14"/>
      <c r="O11" s="14"/>
      <c r="P11" s="34"/>
      <c r="Q11" s="121"/>
      <c r="R11" s="129"/>
      <c r="S11" s="129"/>
      <c r="T11" s="58"/>
      <c r="U11" s="58"/>
      <c r="V11" s="58"/>
      <c r="W11" s="58"/>
      <c r="X11" s="165"/>
      <c r="Y11" s="129" t="s">
        <v>2</v>
      </c>
      <c r="Z11" s="118"/>
      <c r="AA11" s="129"/>
    </row>
    <row r="12" spans="1:27" s="1" customFormat="1" hidden="1" x14ac:dyDescent="0.25">
      <c r="A12" s="34"/>
      <c r="B12" s="118">
        <v>100</v>
      </c>
      <c r="C12" s="118">
        <v>4000</v>
      </c>
      <c r="D12" s="118">
        <v>5100</v>
      </c>
      <c r="E12" s="118">
        <v>310</v>
      </c>
      <c r="F12" s="109" t="s">
        <v>235</v>
      </c>
      <c r="G12" s="121">
        <v>0</v>
      </c>
      <c r="H12" s="110"/>
      <c r="I12" s="121">
        <v>0</v>
      </c>
      <c r="J12" s="112"/>
      <c r="K12" s="121">
        <v>0</v>
      </c>
      <c r="L12" s="110"/>
      <c r="M12" s="121">
        <v>0</v>
      </c>
      <c r="N12" s="112"/>
      <c r="O12" s="121">
        <f>I12+M12</f>
        <v>0</v>
      </c>
      <c r="P12" s="121"/>
      <c r="Q12" s="121">
        <f t="shared" ref="Q12:Q73" si="0">SUBTOTAL(9,R12:S12)</f>
        <v>0</v>
      </c>
      <c r="R12" s="121">
        <f>+I12/'Revenue Input'!$O$73*'Revenue Input'!$O$74*Inf</f>
        <v>0</v>
      </c>
      <c r="S12" s="121">
        <f>+M12/'Revenue Input'!$O$77*'Revenue Input'!$O$78*Inf</f>
        <v>0</v>
      </c>
      <c r="T12" s="121">
        <f t="shared" ref="T12" si="1">Q12-R12-S12</f>
        <v>0</v>
      </c>
      <c r="U12" s="167" t="e">
        <f t="shared" ref="U12" si="2">+R12/Q12</f>
        <v>#DIV/0!</v>
      </c>
      <c r="V12" s="167" t="e">
        <f t="shared" ref="V12" si="3">+S12/Q12</f>
        <v>#DIV/0!</v>
      </c>
      <c r="W12" s="121"/>
      <c r="X12" s="165" t="s">
        <v>42</v>
      </c>
      <c r="Y12" s="129" t="str">
        <f>IF((Q12+O12)&gt;0.49,"*","")</f>
        <v/>
      </c>
      <c r="Z12" s="118"/>
      <c r="AA12" s="121"/>
    </row>
    <row r="13" spans="1:27" hidden="1" x14ac:dyDescent="0.25">
      <c r="A13" s="34"/>
      <c r="B13" s="118">
        <v>432</v>
      </c>
      <c r="C13" s="118">
        <v>4000</v>
      </c>
      <c r="D13" s="118">
        <v>5100</v>
      </c>
      <c r="E13" s="118">
        <v>310</v>
      </c>
      <c r="F13" s="109" t="s">
        <v>235</v>
      </c>
      <c r="G13" s="121">
        <v>0</v>
      </c>
      <c r="I13" s="121">
        <v>0</v>
      </c>
      <c r="J13" s="112"/>
      <c r="K13" s="121">
        <v>0</v>
      </c>
      <c r="M13" s="121">
        <v>0</v>
      </c>
      <c r="N13" s="112"/>
      <c r="O13" s="121">
        <f t="shared" ref="O13:O74" si="4">I13+M13</f>
        <v>0</v>
      </c>
      <c r="P13" s="121"/>
      <c r="Q13" s="121">
        <f t="shared" si="0"/>
        <v>0</v>
      </c>
      <c r="R13" s="121">
        <f>+I13/'Revenue Input'!$O$73*'Revenue Input'!$O$74*Inf</f>
        <v>0</v>
      </c>
      <c r="S13" s="121">
        <f>+M13/'Revenue Input'!$O$77*'Revenue Input'!$O$78*Inf</f>
        <v>0</v>
      </c>
      <c r="T13" s="121">
        <f t="shared" ref="T13" si="5">Q13-R13-S13</f>
        <v>0</v>
      </c>
      <c r="U13" s="167" t="e">
        <f t="shared" ref="U13" si="6">+R13/Q13</f>
        <v>#DIV/0!</v>
      </c>
      <c r="V13" s="167" t="e">
        <f t="shared" ref="V13" si="7">+S13/Q13</f>
        <v>#DIV/0!</v>
      </c>
      <c r="W13" s="121"/>
      <c r="X13" s="165" t="s">
        <v>142</v>
      </c>
      <c r="Y13" s="129" t="str">
        <f t="shared" ref="Y13:Y86" si="8">IF((Q13+O13)&gt;0.49,"*","")</f>
        <v/>
      </c>
      <c r="Z13" s="118"/>
      <c r="AA13" s="121"/>
    </row>
    <row r="14" spans="1:27" x14ac:dyDescent="0.25">
      <c r="A14" s="34"/>
      <c r="B14" s="118">
        <v>100</v>
      </c>
      <c r="C14" s="118">
        <v>4000</v>
      </c>
      <c r="D14" s="118">
        <v>5100</v>
      </c>
      <c r="E14" s="118">
        <v>315</v>
      </c>
      <c r="F14" s="109" t="s">
        <v>236</v>
      </c>
      <c r="G14" s="121">
        <v>0</v>
      </c>
      <c r="I14" s="121">
        <v>5153.99</v>
      </c>
      <c r="J14" s="112"/>
      <c r="K14" s="121">
        <v>0</v>
      </c>
      <c r="M14" s="121">
        <v>700</v>
      </c>
      <c r="N14" s="112"/>
      <c r="O14" s="121">
        <f t="shared" si="4"/>
        <v>5853.99</v>
      </c>
      <c r="P14" s="121"/>
      <c r="Q14" s="121">
        <f>SUBTOTAL(9,R14:S14)</f>
        <v>6367.3822962260138</v>
      </c>
      <c r="R14" s="121">
        <f>+I14/'Revenue Input'!$O$73*'Revenue Input'!$O$74*Inf</f>
        <v>5573.9692686583139</v>
      </c>
      <c r="S14" s="121">
        <f>+M14/'Revenue Input'!$O$77*'Revenue Input'!$O$78*Inf</f>
        <v>793.41302756769949</v>
      </c>
      <c r="T14" s="121">
        <f t="shared" ref="T14:T68" si="9">Q14-R14-S14</f>
        <v>0</v>
      </c>
      <c r="U14" s="167">
        <f t="shared" ref="U14:U68" si="10">+R14/Q14</f>
        <v>0.87539415875218285</v>
      </c>
      <c r="V14" s="167">
        <f t="shared" ref="V14:V68" si="11">+S14/Q14</f>
        <v>0.12460584124781705</v>
      </c>
      <c r="W14" s="121"/>
      <c r="X14" s="165" t="s">
        <v>42</v>
      </c>
      <c r="Y14" s="129" t="str">
        <f t="shared" si="8"/>
        <v>*</v>
      </c>
      <c r="Z14" s="118"/>
      <c r="AA14" s="121"/>
    </row>
    <row r="15" spans="1:27" x14ac:dyDescent="0.25">
      <c r="A15" s="34"/>
      <c r="B15" s="118">
        <v>100</v>
      </c>
      <c r="C15" s="118">
        <v>4000</v>
      </c>
      <c r="D15" s="118">
        <v>5100</v>
      </c>
      <c r="E15" s="118">
        <v>320</v>
      </c>
      <c r="F15" s="109" t="s">
        <v>237</v>
      </c>
      <c r="G15" s="121">
        <v>0</v>
      </c>
      <c r="I15" s="121">
        <v>1249.5999999999999</v>
      </c>
      <c r="J15" s="112"/>
      <c r="K15" s="121">
        <v>0</v>
      </c>
      <c r="M15" s="121">
        <v>1022.4</v>
      </c>
      <c r="N15" s="112"/>
      <c r="O15" s="121">
        <f t="shared" si="4"/>
        <v>2272</v>
      </c>
      <c r="P15" s="121"/>
      <c r="Q15" s="121">
        <f t="shared" si="0"/>
        <v>2510.2616052465896</v>
      </c>
      <c r="R15" s="121">
        <f>+I15/'Revenue Input'!$O$73*'Revenue Input'!$O$74*Inf</f>
        <v>1351.4252061248526</v>
      </c>
      <c r="S15" s="121">
        <f>+M15/'Revenue Input'!$O$77*'Revenue Input'!$O$78*Inf</f>
        <v>1158.836399121737</v>
      </c>
      <c r="T15" s="121">
        <f t="shared" ref="T15:T16" si="12">Q15-R15-S15</f>
        <v>0</v>
      </c>
      <c r="U15" s="167">
        <f t="shared" ref="U15:U16" si="13">+R15/Q15</f>
        <v>0.53836030607339769</v>
      </c>
      <c r="V15" s="167">
        <f t="shared" ref="V15:V16" si="14">+S15/Q15</f>
        <v>0.46163969392660231</v>
      </c>
      <c r="W15" s="121"/>
      <c r="X15" s="165" t="s">
        <v>42</v>
      </c>
      <c r="Y15" s="129" t="str">
        <f t="shared" si="8"/>
        <v>*</v>
      </c>
      <c r="Z15" s="118"/>
      <c r="AA15" s="121"/>
    </row>
    <row r="16" spans="1:27" x14ac:dyDescent="0.25">
      <c r="A16" s="34"/>
      <c r="B16" s="118">
        <v>100</v>
      </c>
      <c r="C16" s="118">
        <v>4000</v>
      </c>
      <c r="D16" s="118">
        <v>5100</v>
      </c>
      <c r="E16" s="118">
        <v>330</v>
      </c>
      <c r="F16" s="109" t="s">
        <v>239</v>
      </c>
      <c r="G16" s="121">
        <v>0</v>
      </c>
      <c r="I16" s="121">
        <v>1000</v>
      </c>
      <c r="J16" s="112"/>
      <c r="K16" s="121">
        <v>0</v>
      </c>
      <c r="M16" s="121">
        <v>2013.9199999999998</v>
      </c>
      <c r="N16" s="112"/>
      <c r="O16" s="121">
        <f t="shared" si="4"/>
        <v>3013.92</v>
      </c>
      <c r="P16" s="121"/>
      <c r="Q16" s="121">
        <f t="shared" si="0"/>
        <v>3364.1581897527576</v>
      </c>
      <c r="R16" s="121">
        <f>+I16/'Revenue Input'!$O$73*'Revenue Input'!$O$74*Inf</f>
        <v>1081.486240496841</v>
      </c>
      <c r="S16" s="121">
        <f>+M16/'Revenue Input'!$O$77*'Revenue Input'!$O$78*Inf</f>
        <v>2282.6719492559164</v>
      </c>
      <c r="T16" s="121">
        <f t="shared" si="12"/>
        <v>0</v>
      </c>
      <c r="U16" s="167">
        <f t="shared" si="13"/>
        <v>0.32147306383839303</v>
      </c>
      <c r="V16" s="167">
        <f t="shared" si="14"/>
        <v>0.67852693616160686</v>
      </c>
      <c r="W16" s="121"/>
      <c r="X16" s="165" t="s">
        <v>42</v>
      </c>
      <c r="Y16" s="129" t="str">
        <f t="shared" si="8"/>
        <v>*</v>
      </c>
      <c r="Z16" s="118"/>
      <c r="AA16" s="121"/>
    </row>
    <row r="17" spans="1:27" s="1" customFormat="1" ht="13.5" hidden="1" customHeight="1" x14ac:dyDescent="0.25">
      <c r="A17" s="34"/>
      <c r="B17" s="118">
        <v>432</v>
      </c>
      <c r="C17" s="118">
        <v>4000</v>
      </c>
      <c r="D17" s="118">
        <v>5100</v>
      </c>
      <c r="E17" s="118">
        <v>330</v>
      </c>
      <c r="F17" s="109" t="s">
        <v>239</v>
      </c>
      <c r="G17" s="121">
        <v>0</v>
      </c>
      <c r="H17" s="110"/>
      <c r="I17" s="121">
        <v>0</v>
      </c>
      <c r="J17" s="112"/>
      <c r="K17" s="121">
        <v>0</v>
      </c>
      <c r="L17" s="110"/>
      <c r="M17" s="121">
        <v>0</v>
      </c>
      <c r="N17" s="112"/>
      <c r="O17" s="121">
        <f t="shared" si="4"/>
        <v>0</v>
      </c>
      <c r="P17" s="121"/>
      <c r="Q17" s="121">
        <f t="shared" si="0"/>
        <v>0</v>
      </c>
      <c r="R17" s="121">
        <v>0</v>
      </c>
      <c r="S17" s="121">
        <v>0</v>
      </c>
      <c r="T17" s="121">
        <f t="shared" ref="T17:T21" si="15">Q17-R17-S17</f>
        <v>0</v>
      </c>
      <c r="U17" s="167" t="e">
        <f t="shared" ref="U17:U21" si="16">+R17/Q17</f>
        <v>#DIV/0!</v>
      </c>
      <c r="V17" s="167" t="e">
        <f t="shared" ref="V17:V21" si="17">+S17/Q17</f>
        <v>#DIV/0!</v>
      </c>
      <c r="W17" s="121"/>
      <c r="X17" s="165" t="s">
        <v>142</v>
      </c>
      <c r="Y17" s="129" t="str">
        <f t="shared" si="8"/>
        <v/>
      </c>
      <c r="Z17" s="118"/>
      <c r="AA17" s="121"/>
    </row>
    <row r="18" spans="1:27" hidden="1" x14ac:dyDescent="0.25">
      <c r="A18" s="34"/>
      <c r="B18" s="118">
        <v>100</v>
      </c>
      <c r="C18" s="118">
        <v>4000</v>
      </c>
      <c r="D18" s="118">
        <v>5100</v>
      </c>
      <c r="E18" s="118">
        <v>350</v>
      </c>
      <c r="F18" s="109" t="s">
        <v>240</v>
      </c>
      <c r="G18" s="121">
        <v>0</v>
      </c>
      <c r="I18" s="121">
        <v>0</v>
      </c>
      <c r="J18" s="112"/>
      <c r="K18" s="121">
        <v>0</v>
      </c>
      <c r="M18" s="121">
        <v>0</v>
      </c>
      <c r="N18" s="112"/>
      <c r="O18" s="121">
        <f t="shared" si="4"/>
        <v>0</v>
      </c>
      <c r="P18" s="121"/>
      <c r="Q18" s="121">
        <f t="shared" si="0"/>
        <v>0</v>
      </c>
      <c r="R18" s="121">
        <f>+I18/'Revenue Input'!$O$73*'Revenue Input'!$O$74*Inf</f>
        <v>0</v>
      </c>
      <c r="S18" s="121">
        <f>+M18/'Revenue Input'!$O$77*'Revenue Input'!$O$78*Inf</f>
        <v>0</v>
      </c>
      <c r="T18" s="121">
        <f t="shared" si="15"/>
        <v>0</v>
      </c>
      <c r="U18" s="167" t="e">
        <f t="shared" si="16"/>
        <v>#DIV/0!</v>
      </c>
      <c r="V18" s="167" t="e">
        <f t="shared" si="17"/>
        <v>#DIV/0!</v>
      </c>
      <c r="W18" s="121"/>
      <c r="X18" s="165" t="s">
        <v>42</v>
      </c>
      <c r="Y18" s="129" t="str">
        <f t="shared" si="8"/>
        <v/>
      </c>
      <c r="Z18" s="118"/>
      <c r="AA18" s="121"/>
    </row>
    <row r="19" spans="1:27" s="1" customFormat="1" x14ac:dyDescent="0.25">
      <c r="A19" s="34"/>
      <c r="B19" s="118">
        <v>100</v>
      </c>
      <c r="C19" s="118">
        <v>4000</v>
      </c>
      <c r="D19" s="118">
        <v>5100</v>
      </c>
      <c r="E19" s="118">
        <v>365</v>
      </c>
      <c r="F19" s="109" t="s">
        <v>242</v>
      </c>
      <c r="G19" s="121">
        <v>0</v>
      </c>
      <c r="H19" s="111"/>
      <c r="I19" s="121">
        <v>0</v>
      </c>
      <c r="J19" s="111">
        <v>0</v>
      </c>
      <c r="K19" s="121">
        <v>0</v>
      </c>
      <c r="L19" s="111"/>
      <c r="M19" s="121">
        <v>0</v>
      </c>
      <c r="N19" s="112"/>
      <c r="O19" s="121">
        <f t="shared" si="4"/>
        <v>0</v>
      </c>
      <c r="P19" s="121"/>
      <c r="Q19" s="121">
        <f>SUBTOTAL(9,R19:S19)</f>
        <v>5004.1693095877044</v>
      </c>
      <c r="R19" s="121">
        <f>+(I19+I20)/'Revenue Input'!$O$73*'Revenue Input'!$O$74*Inf</f>
        <v>0</v>
      </c>
      <c r="S19" s="121">
        <f>(M19+M20)/'Revenue Input'!$O$77*'Revenue Input'!$O$78*Inf</f>
        <v>5004.1693095877044</v>
      </c>
      <c r="T19" s="121"/>
      <c r="U19" s="165" t="s">
        <v>42</v>
      </c>
      <c r="V19" s="167">
        <f t="shared" si="17"/>
        <v>1</v>
      </c>
      <c r="W19" s="121"/>
      <c r="X19" s="165" t="s">
        <v>408</v>
      </c>
      <c r="Y19" s="129" t="str">
        <f t="shared" si="8"/>
        <v>*</v>
      </c>
      <c r="Z19" s="118"/>
      <c r="AA19" s="121"/>
    </row>
    <row r="20" spans="1:27" x14ac:dyDescent="0.25">
      <c r="A20" s="34"/>
      <c r="B20" s="118">
        <v>435</v>
      </c>
      <c r="C20" s="118">
        <v>4000</v>
      </c>
      <c r="D20" s="118">
        <v>5101</v>
      </c>
      <c r="E20" s="118">
        <v>365</v>
      </c>
      <c r="F20" s="109" t="s">
        <v>242</v>
      </c>
      <c r="G20" s="121">
        <v>0</v>
      </c>
      <c r="I20" s="121">
        <v>0</v>
      </c>
      <c r="J20" s="112"/>
      <c r="K20" s="121">
        <v>0</v>
      </c>
      <c r="L20" s="111"/>
      <c r="M20" s="121">
        <v>4415</v>
      </c>
      <c r="N20" s="112"/>
      <c r="O20" s="121">
        <f t="shared" si="4"/>
        <v>4415</v>
      </c>
      <c r="P20" s="121"/>
      <c r="Q20" s="121">
        <f t="shared" si="0"/>
        <v>0</v>
      </c>
      <c r="R20" s="121">
        <f>+I20/'Revenue Input'!$O$73*'Revenue Input'!$O$74*Inf</f>
        <v>0</v>
      </c>
      <c r="S20" s="121">
        <v>0</v>
      </c>
      <c r="T20" s="121">
        <f t="shared" si="15"/>
        <v>0</v>
      </c>
      <c r="U20" s="167" t="e">
        <f t="shared" si="16"/>
        <v>#DIV/0!</v>
      </c>
      <c r="V20" s="167" t="e">
        <f t="shared" si="17"/>
        <v>#DIV/0!</v>
      </c>
      <c r="W20" s="121"/>
      <c r="X20" s="165" t="s">
        <v>243</v>
      </c>
      <c r="Y20" s="129" t="str">
        <f t="shared" si="8"/>
        <v>*</v>
      </c>
      <c r="Z20" s="118"/>
      <c r="AA20" s="121"/>
    </row>
    <row r="21" spans="1:27" x14ac:dyDescent="0.25">
      <c r="A21" s="34"/>
      <c r="B21" s="118">
        <v>100</v>
      </c>
      <c r="C21" s="118">
        <v>4000</v>
      </c>
      <c r="D21" s="118">
        <v>5100</v>
      </c>
      <c r="E21" s="118">
        <v>390</v>
      </c>
      <c r="F21" s="109" t="s">
        <v>244</v>
      </c>
      <c r="G21" s="121">
        <v>0</v>
      </c>
      <c r="I21" s="121">
        <v>4541.0300000000007</v>
      </c>
      <c r="J21" s="112"/>
      <c r="K21" s="121">
        <v>0</v>
      </c>
      <c r="M21" s="121">
        <v>11498.777500000002</v>
      </c>
      <c r="N21" s="112"/>
      <c r="O21" s="121">
        <f t="shared" si="4"/>
        <v>16039.807500000003</v>
      </c>
      <c r="P21" s="121"/>
      <c r="Q21" s="121">
        <f>+O21/EnrOld*EnrNew*Inf</f>
        <v>17698.9383137162</v>
      </c>
      <c r="R21" s="121">
        <f>+Q21*50%</f>
        <v>8849.4691568581002</v>
      </c>
      <c r="S21" s="121">
        <f>+Q21*50%</f>
        <v>8849.4691568581002</v>
      </c>
      <c r="T21" s="121">
        <f t="shared" si="15"/>
        <v>0</v>
      </c>
      <c r="U21" s="167">
        <f t="shared" si="16"/>
        <v>0.5</v>
      </c>
      <c r="V21" s="167">
        <f t="shared" si="17"/>
        <v>0.5</v>
      </c>
      <c r="W21" s="121"/>
      <c r="X21" s="165" t="s">
        <v>245</v>
      </c>
      <c r="Y21" s="129" t="str">
        <f t="shared" si="8"/>
        <v>*</v>
      </c>
      <c r="Z21" s="118"/>
      <c r="AA21" s="121"/>
    </row>
    <row r="22" spans="1:27" hidden="1" x14ac:dyDescent="0.25">
      <c r="A22" s="34"/>
      <c r="B22" s="118">
        <v>432</v>
      </c>
      <c r="C22" s="118">
        <v>4000</v>
      </c>
      <c r="D22" s="118">
        <v>5100</v>
      </c>
      <c r="E22" s="118">
        <v>390</v>
      </c>
      <c r="F22" s="109" t="s">
        <v>244</v>
      </c>
      <c r="G22" s="121">
        <v>0</v>
      </c>
      <c r="I22" s="121">
        <v>0</v>
      </c>
      <c r="J22" s="112"/>
      <c r="K22" s="121">
        <v>0</v>
      </c>
      <c r="M22" s="121">
        <v>0</v>
      </c>
      <c r="N22" s="112"/>
      <c r="O22" s="121">
        <f t="shared" si="4"/>
        <v>0</v>
      </c>
      <c r="P22" s="121"/>
      <c r="Q22" s="121">
        <f t="shared" si="0"/>
        <v>0</v>
      </c>
      <c r="R22" s="121">
        <v>0</v>
      </c>
      <c r="S22" s="121">
        <f>+M22/'Revenue Input'!$O$77*'Revenue Input'!$O$78*Inf</f>
        <v>0</v>
      </c>
      <c r="T22" s="121">
        <f t="shared" ref="T22:T33" si="18">Q22-R22-S22</f>
        <v>0</v>
      </c>
      <c r="U22" s="167" t="e">
        <f t="shared" ref="U22:U33" si="19">+R22/Q22</f>
        <v>#DIV/0!</v>
      </c>
      <c r="V22" s="167" t="e">
        <f t="shared" ref="V22:V33" si="20">+S22/Q22</f>
        <v>#DIV/0!</v>
      </c>
      <c r="W22" s="121"/>
      <c r="X22" s="165" t="s">
        <v>142</v>
      </c>
      <c r="Y22" s="129" t="str">
        <f t="shared" si="8"/>
        <v/>
      </c>
      <c r="Z22" s="118"/>
      <c r="AA22" s="121"/>
    </row>
    <row r="23" spans="1:27" x14ac:dyDescent="0.25">
      <c r="A23" s="34"/>
      <c r="B23" s="118">
        <v>493</v>
      </c>
      <c r="C23" s="118">
        <v>4000</v>
      </c>
      <c r="D23" s="118">
        <v>5100</v>
      </c>
      <c r="E23" s="118">
        <v>390</v>
      </c>
      <c r="F23" s="109" t="s">
        <v>244</v>
      </c>
      <c r="G23" s="121">
        <v>0</v>
      </c>
      <c r="I23" s="121">
        <v>23.22</v>
      </c>
      <c r="J23" s="112"/>
      <c r="K23" s="121">
        <v>0</v>
      </c>
      <c r="M23" s="121">
        <v>0</v>
      </c>
      <c r="N23" s="112"/>
      <c r="O23" s="121">
        <f t="shared" ref="O23" si="21">I23+M23</f>
        <v>23.22</v>
      </c>
      <c r="P23" s="121"/>
      <c r="Q23" s="121">
        <f t="shared" ref="Q23" si="22">SUBTOTAL(9,R23:S23)</f>
        <v>0</v>
      </c>
      <c r="R23" s="121">
        <v>0</v>
      </c>
      <c r="S23" s="121">
        <v>0</v>
      </c>
      <c r="T23" s="121">
        <f t="shared" ref="T23" si="23">Q23-R23-S23</f>
        <v>0</v>
      </c>
      <c r="U23" s="167" t="e">
        <f t="shared" ref="U23" si="24">+R23/Q23</f>
        <v>#DIV/0!</v>
      </c>
      <c r="V23" s="167" t="e">
        <f t="shared" ref="V23" si="25">+S23/Q23</f>
        <v>#DIV/0!</v>
      </c>
      <c r="W23" s="121"/>
      <c r="X23" s="165" t="s">
        <v>338</v>
      </c>
      <c r="Y23" s="129" t="str">
        <f t="shared" ref="Y23" si="26">IF((Q23+O23)&gt;0.49,"*","")</f>
        <v>*</v>
      </c>
      <c r="Z23" s="118"/>
      <c r="AA23" s="121"/>
    </row>
    <row r="24" spans="1:27" hidden="1" x14ac:dyDescent="0.25">
      <c r="A24" s="34"/>
      <c r="B24" s="118">
        <v>495</v>
      </c>
      <c r="C24" s="118">
        <v>4000</v>
      </c>
      <c r="D24" s="118">
        <v>5100</v>
      </c>
      <c r="E24" s="118">
        <v>390</v>
      </c>
      <c r="F24" s="109" t="s">
        <v>244</v>
      </c>
      <c r="G24" s="121">
        <v>0</v>
      </c>
      <c r="I24" s="121">
        <v>0</v>
      </c>
      <c r="J24" s="112"/>
      <c r="K24" s="121">
        <v>0</v>
      </c>
      <c r="M24" s="121">
        <v>0</v>
      </c>
      <c r="N24" s="112"/>
      <c r="O24" s="121">
        <f t="shared" si="4"/>
        <v>0</v>
      </c>
      <c r="P24" s="121"/>
      <c r="Q24" s="121">
        <f t="shared" si="0"/>
        <v>0</v>
      </c>
      <c r="R24" s="121">
        <v>0</v>
      </c>
      <c r="S24" s="121">
        <v>0</v>
      </c>
      <c r="T24" s="121">
        <f t="shared" si="18"/>
        <v>0</v>
      </c>
      <c r="U24" s="167" t="e">
        <f t="shared" si="19"/>
        <v>#DIV/0!</v>
      </c>
      <c r="V24" s="167" t="e">
        <f t="shared" si="20"/>
        <v>#DIV/0!</v>
      </c>
      <c r="W24" s="121"/>
      <c r="X24" s="165" t="s">
        <v>339</v>
      </c>
      <c r="Y24" s="129" t="str">
        <f t="shared" si="8"/>
        <v/>
      </c>
      <c r="Z24" s="118"/>
      <c r="AA24" s="121"/>
    </row>
    <row r="25" spans="1:27" x14ac:dyDescent="0.25">
      <c r="A25" s="34"/>
      <c r="B25" s="118">
        <v>100</v>
      </c>
      <c r="C25" s="118">
        <v>4000</v>
      </c>
      <c r="D25" s="118">
        <v>5100</v>
      </c>
      <c r="E25" s="118">
        <v>510</v>
      </c>
      <c r="F25" s="109" t="s">
        <v>246</v>
      </c>
      <c r="G25" s="121">
        <v>0</v>
      </c>
      <c r="I25" s="121">
        <v>20567.48</v>
      </c>
      <c r="J25" s="112"/>
      <c r="K25" s="121">
        <v>0</v>
      </c>
      <c r="M25" s="121">
        <v>17578.160000000003</v>
      </c>
      <c r="N25" s="112"/>
      <c r="O25" s="121">
        <f t="shared" si="4"/>
        <v>38145.64</v>
      </c>
      <c r="P25" s="121"/>
      <c r="Q25" s="121">
        <f>SUBTOTAL(9,R25:S25)</f>
        <v>107812.98875821437</v>
      </c>
      <c r="R25" s="121">
        <f>+(I25+I27)/'Revenue Input'!$O$73*'Revenue Input'!$O$74*Inf</f>
        <v>67511.789377877692</v>
      </c>
      <c r="S25" s="121">
        <f>(M25+M27)/'Revenue Input'!$O$77*'Revenue Input'!$O$78*Inf</f>
        <v>40301.199380336679</v>
      </c>
      <c r="T25" s="121"/>
      <c r="U25" s="165" t="s">
        <v>42</v>
      </c>
      <c r="V25" s="167">
        <f t="shared" si="20"/>
        <v>0.37380653151836579</v>
      </c>
      <c r="W25" s="121"/>
      <c r="X25" s="165" t="s">
        <v>408</v>
      </c>
      <c r="Y25" s="129" t="str">
        <f t="shared" si="8"/>
        <v>*</v>
      </c>
      <c r="Z25" s="118"/>
      <c r="AA25" s="121"/>
    </row>
    <row r="26" spans="1:27" x14ac:dyDescent="0.25">
      <c r="A26" s="34"/>
      <c r="B26" s="118">
        <v>432</v>
      </c>
      <c r="C26" s="118">
        <v>4000</v>
      </c>
      <c r="D26" s="118">
        <v>5100</v>
      </c>
      <c r="E26" s="118">
        <v>510</v>
      </c>
      <c r="F26" s="109" t="s">
        <v>246</v>
      </c>
      <c r="G26" s="121">
        <v>0</v>
      </c>
      <c r="H26" s="111"/>
      <c r="I26" s="121">
        <v>7772.3799999999992</v>
      </c>
      <c r="J26" s="112"/>
      <c r="K26" s="121">
        <v>0</v>
      </c>
      <c r="L26" s="111"/>
      <c r="M26" s="121">
        <v>9678.93</v>
      </c>
      <c r="N26" s="112"/>
      <c r="O26" s="121">
        <f t="shared" si="4"/>
        <v>17451.309999999998</v>
      </c>
      <c r="P26" s="121"/>
      <c r="Q26" s="121">
        <f>SUBTOTAL(9,R26:S26)</f>
        <v>14926</v>
      </c>
      <c r="R26" s="121">
        <v>9708</v>
      </c>
      <c r="S26" s="121">
        <v>5218</v>
      </c>
      <c r="T26" s="121"/>
      <c r="U26" s="165" t="s">
        <v>408</v>
      </c>
      <c r="V26" s="167">
        <f t="shared" si="20"/>
        <v>0.34959131716467906</v>
      </c>
      <c r="W26" s="121"/>
      <c r="X26" s="165" t="s">
        <v>142</v>
      </c>
      <c r="Y26" s="129" t="str">
        <f t="shared" si="8"/>
        <v>*</v>
      </c>
      <c r="Z26" s="118"/>
      <c r="AA26" s="121"/>
    </row>
    <row r="27" spans="1:27" x14ac:dyDescent="0.25">
      <c r="A27" s="34"/>
      <c r="B27" s="118">
        <v>435</v>
      </c>
      <c r="C27" s="118">
        <v>4000</v>
      </c>
      <c r="D27" s="118">
        <v>5100</v>
      </c>
      <c r="E27" s="118">
        <v>510</v>
      </c>
      <c r="F27" s="109" t="s">
        <v>246</v>
      </c>
      <c r="G27" s="121">
        <v>0</v>
      </c>
      <c r="H27" s="111"/>
      <c r="I27" s="121">
        <v>41857.53</v>
      </c>
      <c r="J27" s="112"/>
      <c r="K27" s="121">
        <v>0</v>
      </c>
      <c r="L27" s="111"/>
      <c r="M27" s="121">
        <v>17978.150000000001</v>
      </c>
      <c r="N27" s="112"/>
      <c r="O27" s="121">
        <f t="shared" ref="O27" si="27">I27+M27</f>
        <v>59835.68</v>
      </c>
      <c r="P27" s="121"/>
      <c r="Q27" s="121">
        <f t="shared" ref="Q27" si="28">SUBTOTAL(9,R27:S27)</f>
        <v>0</v>
      </c>
      <c r="R27" s="121">
        <v>0</v>
      </c>
      <c r="S27" s="121">
        <v>0</v>
      </c>
      <c r="T27" s="121">
        <f t="shared" ref="T27" si="29">Q27-R27-S27</f>
        <v>0</v>
      </c>
      <c r="U27" s="167" t="e">
        <f t="shared" ref="U27" si="30">+R27/Q27</f>
        <v>#DIV/0!</v>
      </c>
      <c r="V27" s="167" t="e">
        <f t="shared" ref="V27" si="31">+S27/Q27</f>
        <v>#DIV/0!</v>
      </c>
      <c r="W27" s="121"/>
      <c r="X27" s="165" t="s">
        <v>243</v>
      </c>
      <c r="Y27" s="129" t="str">
        <f t="shared" ref="Y27" si="32">IF((Q27+O27)&gt;0.49,"*","")</f>
        <v>*</v>
      </c>
      <c r="Z27" s="118"/>
      <c r="AA27" s="121"/>
    </row>
    <row r="28" spans="1:27" x14ac:dyDescent="0.25">
      <c r="A28" s="34"/>
      <c r="B28" s="118">
        <v>493</v>
      </c>
      <c r="C28" s="118">
        <v>4000</v>
      </c>
      <c r="D28" s="118">
        <v>5100</v>
      </c>
      <c r="E28" s="118">
        <v>510</v>
      </c>
      <c r="F28" s="109" t="s">
        <v>246</v>
      </c>
      <c r="G28" s="121">
        <v>0</v>
      </c>
      <c r="H28" s="111"/>
      <c r="I28" s="121">
        <v>189.01999999999998</v>
      </c>
      <c r="J28" s="112"/>
      <c r="K28" s="121">
        <v>0</v>
      </c>
      <c r="L28" s="111"/>
      <c r="M28" s="121">
        <v>0</v>
      </c>
      <c r="N28" s="112"/>
      <c r="O28" s="121">
        <f t="shared" si="4"/>
        <v>189.01999999999998</v>
      </c>
      <c r="P28" s="121"/>
      <c r="Q28" s="121">
        <f t="shared" si="0"/>
        <v>0</v>
      </c>
      <c r="R28" s="121">
        <v>0</v>
      </c>
      <c r="S28" s="121">
        <v>0</v>
      </c>
      <c r="T28" s="121">
        <f t="shared" si="18"/>
        <v>0</v>
      </c>
      <c r="U28" s="167" t="e">
        <f t="shared" si="19"/>
        <v>#DIV/0!</v>
      </c>
      <c r="V28" s="167" t="e">
        <f t="shared" si="20"/>
        <v>#DIV/0!</v>
      </c>
      <c r="W28" s="121"/>
      <c r="X28" s="165" t="s">
        <v>338</v>
      </c>
      <c r="Y28" s="129" t="str">
        <f t="shared" si="8"/>
        <v>*</v>
      </c>
      <c r="Z28" s="118"/>
      <c r="AA28" s="121"/>
    </row>
    <row r="29" spans="1:27" x14ac:dyDescent="0.25">
      <c r="A29" s="34"/>
      <c r="B29" s="118">
        <v>100</v>
      </c>
      <c r="C29" s="118">
        <v>4000</v>
      </c>
      <c r="D29" s="118">
        <v>5100</v>
      </c>
      <c r="E29" s="118">
        <v>512</v>
      </c>
      <c r="F29" s="109" t="s">
        <v>127</v>
      </c>
      <c r="G29" s="121">
        <v>0</v>
      </c>
      <c r="H29" s="111"/>
      <c r="I29" s="121">
        <v>12883.35</v>
      </c>
      <c r="J29" s="112"/>
      <c r="K29" s="121">
        <v>0</v>
      </c>
      <c r="L29" s="111"/>
      <c r="M29" s="121">
        <v>14763.65</v>
      </c>
      <c r="N29" s="112"/>
      <c r="O29" s="121">
        <f t="shared" si="4"/>
        <v>27647</v>
      </c>
      <c r="P29" s="121"/>
      <c r="Q29" s="121">
        <f>SUBTOTAL(9,R29:S29)</f>
        <v>30666.983248576216</v>
      </c>
      <c r="R29" s="121">
        <f>+I29/'Revenue Input'!$O$73*'Revenue Input'!$O$74*Inf</f>
        <v>13933.165756504979</v>
      </c>
      <c r="S29" s="121">
        <f>+M29/'Revenue Input'!$O$77*'Revenue Input'!$O$78*Inf</f>
        <v>16733.817492071237</v>
      </c>
      <c r="T29" s="121">
        <f t="shared" si="18"/>
        <v>0</v>
      </c>
      <c r="U29" s="167">
        <f t="shared" si="19"/>
        <v>0.45433767135056746</v>
      </c>
      <c r="V29" s="167">
        <f t="shared" si="20"/>
        <v>0.54566232864943254</v>
      </c>
      <c r="W29" s="121"/>
      <c r="X29" s="165" t="s">
        <v>42</v>
      </c>
      <c r="Y29" s="129" t="str">
        <f t="shared" si="8"/>
        <v>*</v>
      </c>
      <c r="Z29" s="118"/>
      <c r="AA29" s="121"/>
    </row>
    <row r="30" spans="1:27" hidden="1" x14ac:dyDescent="0.25">
      <c r="A30" s="34"/>
      <c r="B30" s="118">
        <v>100</v>
      </c>
      <c r="C30" s="118">
        <v>4000</v>
      </c>
      <c r="D30" s="118">
        <v>5100</v>
      </c>
      <c r="E30" s="118">
        <v>513</v>
      </c>
      <c r="F30" s="109" t="s">
        <v>128</v>
      </c>
      <c r="G30" s="121">
        <v>0</v>
      </c>
      <c r="I30" s="121">
        <v>0</v>
      </c>
      <c r="J30" s="112"/>
      <c r="K30" s="121">
        <v>0</v>
      </c>
      <c r="L30" s="111"/>
      <c r="M30" s="121">
        <v>0</v>
      </c>
      <c r="N30" s="112"/>
      <c r="O30" s="121">
        <f t="shared" si="4"/>
        <v>0</v>
      </c>
      <c r="P30" s="121"/>
      <c r="Q30" s="121">
        <f t="shared" si="0"/>
        <v>0</v>
      </c>
      <c r="R30" s="121">
        <f>+I30/'Revenue Input'!$O$73*'Revenue Input'!$O$74*Inf</f>
        <v>0</v>
      </c>
      <c r="S30" s="121">
        <f>+M30/'Revenue Input'!$O$77*'Revenue Input'!$O$78*Inf</f>
        <v>0</v>
      </c>
      <c r="T30" s="121">
        <f t="shared" si="18"/>
        <v>0</v>
      </c>
      <c r="U30" s="167" t="e">
        <f t="shared" si="19"/>
        <v>#DIV/0!</v>
      </c>
      <c r="V30" s="167" t="e">
        <f t="shared" si="20"/>
        <v>#DIV/0!</v>
      </c>
      <c r="W30" s="121"/>
      <c r="X30" s="165" t="s">
        <v>42</v>
      </c>
      <c r="Y30" s="129" t="str">
        <f t="shared" si="8"/>
        <v/>
      </c>
      <c r="Z30" s="118"/>
      <c r="AA30" s="121"/>
    </row>
    <row r="31" spans="1:27" s="1" customFormat="1" x14ac:dyDescent="0.25">
      <c r="A31" s="34"/>
      <c r="B31" s="118">
        <v>100</v>
      </c>
      <c r="C31" s="118">
        <v>4000</v>
      </c>
      <c r="D31" s="118">
        <v>5100</v>
      </c>
      <c r="E31" s="118">
        <v>520</v>
      </c>
      <c r="F31" s="109" t="s">
        <v>247</v>
      </c>
      <c r="G31" s="121">
        <v>0</v>
      </c>
      <c r="H31" s="110"/>
      <c r="I31" s="121">
        <v>2589.91</v>
      </c>
      <c r="J31" s="112"/>
      <c r="K31" s="121">
        <v>0</v>
      </c>
      <c r="L31" s="110"/>
      <c r="M31" s="121">
        <v>139.11000000000001</v>
      </c>
      <c r="N31" s="112"/>
      <c r="O31" s="121">
        <f t="shared" si="4"/>
        <v>2729.02</v>
      </c>
      <c r="P31" s="121"/>
      <c r="Q31" s="121">
        <f t="shared" si="0"/>
        <v>7000</v>
      </c>
      <c r="R31" s="121">
        <v>2000</v>
      </c>
      <c r="S31" s="121">
        <v>5000</v>
      </c>
      <c r="T31" s="121">
        <f t="shared" si="18"/>
        <v>0</v>
      </c>
      <c r="U31" s="167">
        <f t="shared" si="19"/>
        <v>0.2857142857142857</v>
      </c>
      <c r="V31" s="167">
        <f t="shared" si="20"/>
        <v>0.7142857142857143</v>
      </c>
      <c r="W31" s="121"/>
      <c r="X31" s="165" t="s">
        <v>248</v>
      </c>
      <c r="Y31" s="129" t="str">
        <f t="shared" si="8"/>
        <v>*</v>
      </c>
      <c r="Z31" s="118"/>
      <c r="AA31" s="121"/>
    </row>
    <row r="32" spans="1:27" s="1" customFormat="1" hidden="1" x14ac:dyDescent="0.25">
      <c r="A32" s="34"/>
      <c r="B32" s="118">
        <v>495</v>
      </c>
      <c r="C32" s="118">
        <v>4000</v>
      </c>
      <c r="D32" s="118">
        <v>5100</v>
      </c>
      <c r="E32" s="118">
        <v>529</v>
      </c>
      <c r="F32" s="109" t="s">
        <v>249</v>
      </c>
      <c r="G32" s="121"/>
      <c r="H32" s="110"/>
      <c r="I32" s="121">
        <v>0</v>
      </c>
      <c r="J32" s="112"/>
      <c r="K32" s="121"/>
      <c r="L32" s="110"/>
      <c r="M32" s="121">
        <v>0</v>
      </c>
      <c r="N32" s="112"/>
      <c r="O32" s="121">
        <f t="shared" si="4"/>
        <v>0</v>
      </c>
      <c r="P32" s="121"/>
      <c r="Q32" s="121">
        <f t="shared" si="0"/>
        <v>0</v>
      </c>
      <c r="R32" s="121">
        <v>0</v>
      </c>
      <c r="S32" s="121">
        <v>0</v>
      </c>
      <c r="T32" s="121">
        <f t="shared" si="18"/>
        <v>0</v>
      </c>
      <c r="U32" s="167" t="e">
        <f t="shared" si="19"/>
        <v>#DIV/0!</v>
      </c>
      <c r="V32" s="167" t="e">
        <f t="shared" si="20"/>
        <v>#DIV/0!</v>
      </c>
      <c r="W32" s="121"/>
      <c r="X32" s="165" t="s">
        <v>339</v>
      </c>
      <c r="Y32" s="129" t="str">
        <f t="shared" si="8"/>
        <v/>
      </c>
      <c r="Z32" s="118"/>
      <c r="AA32" s="121"/>
    </row>
    <row r="33" spans="1:27" hidden="1" x14ac:dyDescent="0.25">
      <c r="A33" s="34"/>
      <c r="B33" s="118">
        <v>100</v>
      </c>
      <c r="C33" s="118">
        <v>4000</v>
      </c>
      <c r="D33" s="118">
        <v>5100</v>
      </c>
      <c r="E33" s="118">
        <v>610</v>
      </c>
      <c r="F33" s="109" t="s">
        <v>250</v>
      </c>
      <c r="G33" s="121">
        <v>0</v>
      </c>
      <c r="I33" s="121">
        <v>0</v>
      </c>
      <c r="J33" s="112"/>
      <c r="K33" s="121">
        <v>0</v>
      </c>
      <c r="M33" s="121">
        <v>0</v>
      </c>
      <c r="N33" s="112"/>
      <c r="O33" s="121">
        <f t="shared" si="4"/>
        <v>0</v>
      </c>
      <c r="P33" s="121"/>
      <c r="Q33" s="121">
        <f t="shared" si="0"/>
        <v>0</v>
      </c>
      <c r="R33" s="121">
        <f>+I33/'Revenue Input'!$O$73*'Revenue Input'!$O$74*Inf</f>
        <v>0</v>
      </c>
      <c r="S33" s="121">
        <f>+M33/'Revenue Input'!$O$77*'Revenue Input'!$O$78*Inf</f>
        <v>0</v>
      </c>
      <c r="T33" s="121">
        <f t="shared" si="18"/>
        <v>0</v>
      </c>
      <c r="U33" s="167" t="e">
        <f t="shared" si="19"/>
        <v>#DIV/0!</v>
      </c>
      <c r="V33" s="167" t="e">
        <f t="shared" si="20"/>
        <v>#DIV/0!</v>
      </c>
      <c r="W33" s="121"/>
      <c r="X33" s="165" t="s">
        <v>42</v>
      </c>
      <c r="Y33" s="129" t="str">
        <f t="shared" si="8"/>
        <v/>
      </c>
      <c r="Z33" s="118"/>
      <c r="AA33" s="121"/>
    </row>
    <row r="34" spans="1:27" x14ac:dyDescent="0.25">
      <c r="A34" s="34"/>
      <c r="B34" s="118">
        <v>100</v>
      </c>
      <c r="C34" s="118">
        <v>4000</v>
      </c>
      <c r="D34" s="118">
        <v>5100</v>
      </c>
      <c r="E34" s="118">
        <v>641</v>
      </c>
      <c r="F34" s="109" t="s">
        <v>251</v>
      </c>
      <c r="G34" s="121">
        <v>0</v>
      </c>
      <c r="I34" s="121">
        <v>0</v>
      </c>
      <c r="J34" s="112"/>
      <c r="K34" s="121">
        <v>0</v>
      </c>
      <c r="L34" s="111"/>
      <c r="M34" s="121">
        <v>0</v>
      </c>
      <c r="N34" s="112"/>
      <c r="O34" s="121">
        <f t="shared" si="4"/>
        <v>0</v>
      </c>
      <c r="P34" s="121"/>
      <c r="Q34" s="121">
        <f t="shared" si="0"/>
        <v>10000</v>
      </c>
      <c r="R34" s="121">
        <v>5000</v>
      </c>
      <c r="S34" s="121">
        <v>5000</v>
      </c>
      <c r="T34" s="121">
        <f t="shared" ref="T34:T35" si="33">Q34-R34-S34</f>
        <v>0</v>
      </c>
      <c r="U34" s="167">
        <f t="shared" ref="U34:U35" si="34">+R34/Q34</f>
        <v>0.5</v>
      </c>
      <c r="V34" s="167">
        <f t="shared" ref="V34:V35" si="35">+S34/Q34</f>
        <v>0.5</v>
      </c>
      <c r="W34" s="121"/>
      <c r="X34" s="165" t="s">
        <v>248</v>
      </c>
      <c r="Y34" s="129" t="str">
        <f t="shared" si="8"/>
        <v>*</v>
      </c>
      <c r="Z34" s="118"/>
      <c r="AA34" s="121"/>
    </row>
    <row r="35" spans="1:27" x14ac:dyDescent="0.25">
      <c r="A35" s="34"/>
      <c r="B35" s="118">
        <v>435</v>
      </c>
      <c r="C35" s="118">
        <v>4000</v>
      </c>
      <c r="D35" s="118">
        <v>5101</v>
      </c>
      <c r="E35" s="118">
        <v>641</v>
      </c>
      <c r="F35" s="109" t="s">
        <v>251</v>
      </c>
      <c r="G35" s="117">
        <v>0</v>
      </c>
      <c r="H35" s="111"/>
      <c r="I35" s="121">
        <v>0</v>
      </c>
      <c r="J35" s="117"/>
      <c r="K35" s="117">
        <v>0</v>
      </c>
      <c r="L35" s="121"/>
      <c r="M35" s="121">
        <v>32741</v>
      </c>
      <c r="N35" s="112"/>
      <c r="O35" s="121">
        <f t="shared" si="4"/>
        <v>32741</v>
      </c>
      <c r="P35" s="121"/>
      <c r="Q35" s="121">
        <f t="shared" si="0"/>
        <v>0</v>
      </c>
      <c r="R35" s="121">
        <v>0</v>
      </c>
      <c r="S35" s="121">
        <v>0</v>
      </c>
      <c r="T35" s="121">
        <f t="shared" si="33"/>
        <v>0</v>
      </c>
      <c r="U35" s="167" t="e">
        <f t="shared" si="34"/>
        <v>#DIV/0!</v>
      </c>
      <c r="V35" s="167" t="e">
        <f t="shared" si="35"/>
        <v>#DIV/0!</v>
      </c>
      <c r="W35" s="121"/>
      <c r="X35" s="165" t="s">
        <v>243</v>
      </c>
      <c r="Y35" s="129" t="str">
        <f t="shared" si="8"/>
        <v>*</v>
      </c>
      <c r="Z35" s="118"/>
      <c r="AA35" s="121"/>
    </row>
    <row r="36" spans="1:27" x14ac:dyDescent="0.25">
      <c r="A36" s="34"/>
      <c r="B36" s="118">
        <v>100</v>
      </c>
      <c r="C36" s="118">
        <v>4000</v>
      </c>
      <c r="D36" s="118">
        <v>5100</v>
      </c>
      <c r="E36" s="118">
        <v>642</v>
      </c>
      <c r="F36" s="109" t="s">
        <v>252</v>
      </c>
      <c r="G36" s="180">
        <v>0</v>
      </c>
      <c r="H36" s="121"/>
      <c r="I36" s="111">
        <v>8237.35</v>
      </c>
      <c r="J36" s="117"/>
      <c r="K36" s="179">
        <v>0</v>
      </c>
      <c r="L36" s="121"/>
      <c r="M36" s="121">
        <v>27896.29</v>
      </c>
      <c r="N36" s="121"/>
      <c r="O36" s="121">
        <f t="shared" si="4"/>
        <v>36133.64</v>
      </c>
      <c r="P36" s="121"/>
      <c r="Q36" s="121">
        <f t="shared" si="0"/>
        <v>10000</v>
      </c>
      <c r="R36" s="121">
        <v>5000</v>
      </c>
      <c r="S36" s="121">
        <v>5000</v>
      </c>
      <c r="T36" s="121">
        <f t="shared" ref="T36" si="36">Q36-R36-S36</f>
        <v>0</v>
      </c>
      <c r="U36" s="167">
        <f t="shared" ref="U36" si="37">+R36/Q36</f>
        <v>0.5</v>
      </c>
      <c r="V36" s="167">
        <f t="shared" ref="V36" si="38">+S36/Q36</f>
        <v>0.5</v>
      </c>
      <c r="W36" s="121"/>
      <c r="X36" s="165" t="s">
        <v>248</v>
      </c>
      <c r="Y36" s="129" t="str">
        <f t="shared" si="8"/>
        <v>*</v>
      </c>
      <c r="Z36" s="118"/>
      <c r="AA36" s="121"/>
    </row>
    <row r="37" spans="1:27" hidden="1" x14ac:dyDescent="0.25">
      <c r="A37" s="34"/>
      <c r="B37" s="118">
        <v>100</v>
      </c>
      <c r="C37" s="118">
        <v>4000</v>
      </c>
      <c r="D37" s="118">
        <v>5100</v>
      </c>
      <c r="E37" s="118">
        <v>643</v>
      </c>
      <c r="F37" s="109" t="s">
        <v>253</v>
      </c>
      <c r="G37" s="117">
        <v>0</v>
      </c>
      <c r="H37" s="111"/>
      <c r="I37" s="121">
        <v>0</v>
      </c>
      <c r="J37" s="117"/>
      <c r="K37" s="117">
        <v>0</v>
      </c>
      <c r="L37" s="121"/>
      <c r="M37" s="121">
        <v>0</v>
      </c>
      <c r="N37" s="112"/>
      <c r="O37" s="121">
        <f t="shared" si="4"/>
        <v>0</v>
      </c>
      <c r="P37" s="121"/>
      <c r="Q37" s="121">
        <f t="shared" si="0"/>
        <v>0</v>
      </c>
      <c r="R37" s="121">
        <v>0</v>
      </c>
      <c r="S37" s="121">
        <v>0</v>
      </c>
      <c r="T37" s="121">
        <f t="shared" ref="T37" si="39">Q37-R37-S37</f>
        <v>0</v>
      </c>
      <c r="U37" s="167" t="e">
        <f t="shared" ref="U37" si="40">+R37/Q37</f>
        <v>#DIV/0!</v>
      </c>
      <c r="V37" s="167" t="e">
        <f t="shared" ref="V37" si="41">+S37/Q37</f>
        <v>#DIV/0!</v>
      </c>
      <c r="W37" s="121"/>
      <c r="X37" s="165" t="s">
        <v>248</v>
      </c>
      <c r="Y37" s="129" t="str">
        <f t="shared" si="8"/>
        <v/>
      </c>
      <c r="Z37" s="118"/>
      <c r="AA37" s="121"/>
    </row>
    <row r="38" spans="1:27" x14ac:dyDescent="0.25">
      <c r="A38" s="34"/>
      <c r="B38" s="118">
        <v>435</v>
      </c>
      <c r="C38" s="118">
        <v>4000</v>
      </c>
      <c r="D38" s="118">
        <v>5101</v>
      </c>
      <c r="E38" s="118">
        <v>643</v>
      </c>
      <c r="F38" s="109" t="s">
        <v>253</v>
      </c>
      <c r="G38" s="117">
        <v>0</v>
      </c>
      <c r="H38" s="111"/>
      <c r="I38" s="121">
        <v>12941</v>
      </c>
      <c r="J38" s="117"/>
      <c r="K38" s="117">
        <v>0</v>
      </c>
      <c r="L38" s="121"/>
      <c r="M38" s="121">
        <v>0</v>
      </c>
      <c r="N38" s="112"/>
      <c r="O38" s="121">
        <f t="shared" ref="O38:O39" si="42">I38+M38</f>
        <v>12941</v>
      </c>
      <c r="P38" s="121"/>
      <c r="Q38" s="121">
        <f t="shared" ref="Q38:Q39" si="43">SUBTOTAL(9,R38:S38)</f>
        <v>0</v>
      </c>
      <c r="R38" s="121">
        <v>0</v>
      </c>
      <c r="S38" s="121">
        <v>0</v>
      </c>
      <c r="T38" s="121">
        <f t="shared" ref="T38:T39" si="44">Q38-R38-S38</f>
        <v>0</v>
      </c>
      <c r="U38" s="167" t="e">
        <f t="shared" ref="U38:U39" si="45">+R38/Q38</f>
        <v>#DIV/0!</v>
      </c>
      <c r="V38" s="167" t="e">
        <f t="shared" ref="V38:V39" si="46">+S38/Q38</f>
        <v>#DIV/0!</v>
      </c>
      <c r="W38" s="121"/>
      <c r="X38" s="165" t="s">
        <v>243</v>
      </c>
      <c r="Y38" s="129" t="str">
        <f t="shared" ref="Y38:Y39" si="47">IF((Q38+O38)&gt;0.49,"*","")</f>
        <v>*</v>
      </c>
      <c r="Z38" s="118"/>
      <c r="AA38" s="121"/>
    </row>
    <row r="39" spans="1:27" x14ac:dyDescent="0.25">
      <c r="A39" s="34"/>
      <c r="B39" s="118">
        <v>100</v>
      </c>
      <c r="C39" s="118">
        <v>4000</v>
      </c>
      <c r="D39" s="118">
        <v>5100</v>
      </c>
      <c r="E39" s="118">
        <v>644</v>
      </c>
      <c r="F39" s="109" t="s">
        <v>254</v>
      </c>
      <c r="G39" s="121"/>
      <c r="I39" s="121">
        <v>0</v>
      </c>
      <c r="J39" s="112"/>
      <c r="K39" s="121"/>
      <c r="M39" s="121">
        <v>0</v>
      </c>
      <c r="N39" s="112"/>
      <c r="O39" s="121">
        <f t="shared" si="42"/>
        <v>0</v>
      </c>
      <c r="P39" s="121"/>
      <c r="Q39" s="121">
        <f t="shared" si="43"/>
        <v>5000</v>
      </c>
      <c r="R39" s="121">
        <v>2500</v>
      </c>
      <c r="S39" s="121">
        <v>2500</v>
      </c>
      <c r="T39" s="121">
        <f t="shared" si="44"/>
        <v>0</v>
      </c>
      <c r="U39" s="167">
        <f t="shared" si="45"/>
        <v>0.5</v>
      </c>
      <c r="V39" s="167">
        <f t="shared" si="46"/>
        <v>0.5</v>
      </c>
      <c r="W39" s="121"/>
      <c r="X39" s="165" t="s">
        <v>248</v>
      </c>
      <c r="Y39" s="129" t="str">
        <f t="shared" si="47"/>
        <v>*</v>
      </c>
      <c r="Z39" s="118"/>
      <c r="AA39" s="121"/>
    </row>
    <row r="40" spans="1:27" x14ac:dyDescent="0.25">
      <c r="A40" s="34"/>
      <c r="B40" s="118">
        <v>435</v>
      </c>
      <c r="C40" s="118">
        <v>4000</v>
      </c>
      <c r="D40" s="118">
        <v>5101</v>
      </c>
      <c r="E40" s="118">
        <v>644</v>
      </c>
      <c r="F40" s="109" t="s">
        <v>254</v>
      </c>
      <c r="G40" s="121"/>
      <c r="I40" s="121">
        <v>0</v>
      </c>
      <c r="J40" s="112"/>
      <c r="K40" s="121"/>
      <c r="M40" s="121">
        <v>3630</v>
      </c>
      <c r="N40" s="112"/>
      <c r="O40" s="121">
        <f t="shared" si="4"/>
        <v>3630</v>
      </c>
      <c r="P40" s="121"/>
      <c r="Q40" s="121">
        <f t="shared" si="0"/>
        <v>0</v>
      </c>
      <c r="R40" s="121">
        <v>0</v>
      </c>
      <c r="S40" s="121">
        <v>0</v>
      </c>
      <c r="T40" s="121">
        <f t="shared" ref="T40:T63" si="48">Q40-R40-S40</f>
        <v>0</v>
      </c>
      <c r="U40" s="167" t="e">
        <f t="shared" ref="U40:U63" si="49">+R40/Q40</f>
        <v>#DIV/0!</v>
      </c>
      <c r="V40" s="167" t="e">
        <f t="shared" ref="V40:V63" si="50">+S40/Q40</f>
        <v>#DIV/0!</v>
      </c>
      <c r="W40" s="121"/>
      <c r="X40" s="165" t="s">
        <v>243</v>
      </c>
      <c r="Y40" s="129" t="str">
        <f t="shared" si="8"/>
        <v>*</v>
      </c>
      <c r="Z40" s="118"/>
      <c r="AA40" s="263"/>
    </row>
    <row r="41" spans="1:27" x14ac:dyDescent="0.25">
      <c r="A41" s="34"/>
      <c r="B41" s="118">
        <v>100</v>
      </c>
      <c r="C41" s="118">
        <v>4000</v>
      </c>
      <c r="D41" s="118">
        <v>5100</v>
      </c>
      <c r="E41" s="118">
        <v>690</v>
      </c>
      <c r="F41" s="109" t="s">
        <v>255</v>
      </c>
      <c r="G41" s="121">
        <v>0</v>
      </c>
      <c r="I41" s="121">
        <v>815.32</v>
      </c>
      <c r="J41" s="112"/>
      <c r="K41" s="121">
        <v>0</v>
      </c>
      <c r="M41" s="121">
        <v>816.98</v>
      </c>
      <c r="N41" s="112"/>
      <c r="O41" s="121">
        <f t="shared" si="4"/>
        <v>1632.3000000000002</v>
      </c>
      <c r="P41" s="121"/>
      <c r="Q41" s="121">
        <f>SUBTOTAL(9,R41:S41)</f>
        <v>0</v>
      </c>
      <c r="R41" s="121">
        <f>+(I41+I42)/'Revenue Input'!$O$73*'Revenue Input'!$O$74*Inf*0</f>
        <v>0</v>
      </c>
      <c r="S41" s="121">
        <f>(M41+M42)/'Revenue Input'!$O$77*'Revenue Input'!$O$78*Inf*0</f>
        <v>0</v>
      </c>
      <c r="T41" s="121"/>
      <c r="U41" s="165" t="s">
        <v>42</v>
      </c>
      <c r="V41" s="167" t="e">
        <f t="shared" ref="V41" si="51">+S41/Q41</f>
        <v>#DIV/0!</v>
      </c>
      <c r="W41" s="121"/>
      <c r="X41" s="165" t="s">
        <v>427</v>
      </c>
      <c r="Y41" s="129" t="str">
        <f t="shared" si="8"/>
        <v>*</v>
      </c>
      <c r="Z41" s="118"/>
      <c r="AA41" s="121"/>
    </row>
    <row r="42" spans="1:27" x14ac:dyDescent="0.25">
      <c r="A42" s="34"/>
      <c r="B42" s="118">
        <v>435</v>
      </c>
      <c r="C42" s="118">
        <v>4000</v>
      </c>
      <c r="D42" s="118">
        <v>5100</v>
      </c>
      <c r="E42" s="118">
        <v>690</v>
      </c>
      <c r="F42" s="109" t="s">
        <v>255</v>
      </c>
      <c r="G42" s="121">
        <v>0</v>
      </c>
      <c r="I42" s="121">
        <v>67731</v>
      </c>
      <c r="J42" s="112"/>
      <c r="K42" s="121">
        <v>0</v>
      </c>
      <c r="M42" s="121">
        <v>56192</v>
      </c>
      <c r="N42" s="112"/>
      <c r="O42" s="121">
        <f t="shared" ref="O42" si="52">I42+M42</f>
        <v>123923</v>
      </c>
      <c r="P42" s="121"/>
      <c r="Q42" s="121">
        <f t="shared" ref="Q42" si="53">SUBTOTAL(9,R42:S42)</f>
        <v>0</v>
      </c>
      <c r="R42" s="121">
        <v>0</v>
      </c>
      <c r="S42" s="121">
        <v>0</v>
      </c>
      <c r="T42" s="121">
        <f t="shared" ref="T42" si="54">Q42-R42-S42</f>
        <v>0</v>
      </c>
      <c r="U42" s="167" t="e">
        <f t="shared" ref="U42" si="55">+R42/Q42</f>
        <v>#DIV/0!</v>
      </c>
      <c r="V42" s="167" t="e">
        <f t="shared" ref="V42" si="56">+S42/Q42</f>
        <v>#DIV/0!</v>
      </c>
      <c r="W42" s="121"/>
      <c r="X42" s="165" t="s">
        <v>243</v>
      </c>
      <c r="Y42" s="129" t="str">
        <f t="shared" ref="Y42" si="57">IF((Q42+O42)&gt;0.49,"*","")</f>
        <v>*</v>
      </c>
      <c r="Z42" s="118"/>
      <c r="AA42" s="121"/>
    </row>
    <row r="43" spans="1:27" s="1" customFormat="1" x14ac:dyDescent="0.25">
      <c r="A43" s="34"/>
      <c r="B43" s="118">
        <v>100</v>
      </c>
      <c r="C43" s="118">
        <v>4000</v>
      </c>
      <c r="D43" s="118">
        <v>5100</v>
      </c>
      <c r="E43" s="118">
        <v>730</v>
      </c>
      <c r="F43" s="109" t="s">
        <v>256</v>
      </c>
      <c r="G43" s="121">
        <v>0</v>
      </c>
      <c r="H43" s="111"/>
      <c r="I43" s="121">
        <v>1852.2666666666669</v>
      </c>
      <c r="J43" s="112"/>
      <c r="K43" s="121">
        <v>0</v>
      </c>
      <c r="L43" s="111"/>
      <c r="M43" s="121">
        <v>513.33333333333337</v>
      </c>
      <c r="N43" s="112"/>
      <c r="O43" s="121">
        <f t="shared" si="4"/>
        <v>2365.6000000000004</v>
      </c>
      <c r="P43" s="121"/>
      <c r="Q43" s="121">
        <f>SUBTOTAL(9,R43:S43)</f>
        <v>2585.0371339472622</v>
      </c>
      <c r="R43" s="121">
        <f>+I43/'Revenue Input'!$O$73*'Revenue Input'!$O$74*Inf</f>
        <v>2003.2009137309494</v>
      </c>
      <c r="S43" s="121">
        <f>+M43/'Revenue Input'!$O$77*'Revenue Input'!$O$78*Inf</f>
        <v>581.836220216313</v>
      </c>
      <c r="T43" s="121">
        <f t="shared" ref="T43:T46" si="58">Q43-R43-S43</f>
        <v>0</v>
      </c>
      <c r="U43" s="167">
        <f t="shared" ref="U43:U46" si="59">+R43/Q43</f>
        <v>0.77492152334080056</v>
      </c>
      <c r="V43" s="167">
        <f t="shared" ref="V43:V46" si="60">+S43/Q43</f>
        <v>0.22507847665919956</v>
      </c>
      <c r="W43" s="121"/>
      <c r="X43" s="165" t="s">
        <v>42</v>
      </c>
      <c r="Y43" s="129" t="str">
        <f t="shared" si="8"/>
        <v>*</v>
      </c>
      <c r="Z43" s="118"/>
      <c r="AA43" s="121"/>
    </row>
    <row r="44" spans="1:27" x14ac:dyDescent="0.25">
      <c r="A44" s="34"/>
      <c r="B44" s="118">
        <v>100</v>
      </c>
      <c r="C44" s="118">
        <v>4000</v>
      </c>
      <c r="D44" s="118">
        <v>5100</v>
      </c>
      <c r="E44" s="118">
        <v>750</v>
      </c>
      <c r="F44" s="109" t="s">
        <v>257</v>
      </c>
      <c r="G44" s="121">
        <v>0</v>
      </c>
      <c r="H44" s="111"/>
      <c r="I44" s="121">
        <v>11779.166666666666</v>
      </c>
      <c r="J44" s="112"/>
      <c r="K44" s="121">
        <v>0</v>
      </c>
      <c r="L44" s="111"/>
      <c r="M44" s="121">
        <v>8715</v>
      </c>
      <c r="N44" s="112"/>
      <c r="O44" s="121">
        <f t="shared" si="4"/>
        <v>20494.166666666664</v>
      </c>
      <c r="P44" s="121"/>
      <c r="Q44" s="121">
        <f>SUBTOTAL(9,R44:S44)</f>
        <v>22616.998867736896</v>
      </c>
      <c r="R44" s="121">
        <f>+I44/'Revenue Input'!$O$73*'Revenue Input'!$O$74*Inf</f>
        <v>12739.00667451904</v>
      </c>
      <c r="S44" s="121">
        <f>+M44/'Revenue Input'!$O$77*'Revenue Input'!$O$78*Inf</f>
        <v>9877.9921932178586</v>
      </c>
      <c r="T44" s="121">
        <f t="shared" ref="T44" si="61">Q44-R44-S44</f>
        <v>0</v>
      </c>
      <c r="U44" s="167">
        <f t="shared" ref="U44" si="62">+R44/Q44</f>
        <v>0.56324920689151237</v>
      </c>
      <c r="V44" s="167">
        <f t="shared" ref="V44" si="63">+S44/Q44</f>
        <v>0.43675079310848774</v>
      </c>
      <c r="W44" s="121"/>
      <c r="X44" s="165" t="s">
        <v>42</v>
      </c>
      <c r="Y44" s="129" t="str">
        <f t="shared" si="8"/>
        <v>*</v>
      </c>
      <c r="Z44" s="118"/>
      <c r="AA44" s="121"/>
    </row>
    <row r="45" spans="1:27" x14ac:dyDescent="0.25">
      <c r="A45" s="34"/>
      <c r="B45" s="118">
        <v>100</v>
      </c>
      <c r="C45" s="118">
        <v>4000</v>
      </c>
      <c r="D45" s="118">
        <v>5200</v>
      </c>
      <c r="E45" s="118">
        <v>310</v>
      </c>
      <c r="F45" s="109" t="s">
        <v>235</v>
      </c>
      <c r="G45" s="121">
        <v>0</v>
      </c>
      <c r="I45" s="121">
        <v>14700.96</v>
      </c>
      <c r="J45" s="112"/>
      <c r="K45" s="121">
        <v>0</v>
      </c>
      <c r="M45" s="121">
        <v>506.63</v>
      </c>
      <c r="N45" s="112"/>
      <c r="O45" s="121">
        <f t="shared" si="4"/>
        <v>15207.589999999998</v>
      </c>
      <c r="P45" s="121"/>
      <c r="Q45" s="121">
        <f>SUBTOTAL(9,R45:S45)</f>
        <v>60000</v>
      </c>
      <c r="R45" s="121">
        <f>60000*55%</f>
        <v>33000</v>
      </c>
      <c r="S45" s="121">
        <f>60000*45%</f>
        <v>27000</v>
      </c>
      <c r="T45" s="121">
        <f t="shared" si="58"/>
        <v>0</v>
      </c>
      <c r="U45" s="167">
        <f t="shared" si="59"/>
        <v>0.55000000000000004</v>
      </c>
      <c r="V45" s="167">
        <f t="shared" si="60"/>
        <v>0.45</v>
      </c>
      <c r="W45" s="121"/>
      <c r="X45" s="165" t="s">
        <v>420</v>
      </c>
      <c r="Y45" s="129" t="str">
        <f t="shared" si="8"/>
        <v>*</v>
      </c>
      <c r="Z45" s="118"/>
      <c r="AA45" s="121"/>
    </row>
    <row r="46" spans="1:27" s="1" customFormat="1" x14ac:dyDescent="0.25">
      <c r="A46" s="34"/>
      <c r="B46" s="118">
        <v>100</v>
      </c>
      <c r="C46" s="118">
        <v>4000</v>
      </c>
      <c r="D46" s="118">
        <v>5200</v>
      </c>
      <c r="E46" s="118">
        <v>510</v>
      </c>
      <c r="F46" s="109" t="s">
        <v>246</v>
      </c>
      <c r="G46" s="121">
        <v>0</v>
      </c>
      <c r="H46" s="110"/>
      <c r="I46" s="121">
        <v>0</v>
      </c>
      <c r="J46" s="112"/>
      <c r="K46" s="121">
        <v>0</v>
      </c>
      <c r="L46" s="110"/>
      <c r="M46" s="121">
        <v>131.03</v>
      </c>
      <c r="N46" s="112"/>
      <c r="O46" s="121">
        <f t="shared" si="4"/>
        <v>131.03</v>
      </c>
      <c r="P46" s="121"/>
      <c r="Q46" s="121">
        <f t="shared" si="0"/>
        <v>148.51558428885096</v>
      </c>
      <c r="R46" s="121">
        <f>+I46/'Revenue Input'!$O$73*'Revenue Input'!$O$74*Inf</f>
        <v>0</v>
      </c>
      <c r="S46" s="121">
        <f>+M46/'Revenue Input'!$O$77*'Revenue Input'!$O$78*Inf</f>
        <v>148.51558428885096</v>
      </c>
      <c r="T46" s="121">
        <f t="shared" si="58"/>
        <v>0</v>
      </c>
      <c r="U46" s="167">
        <f t="shared" si="59"/>
        <v>0</v>
      </c>
      <c r="V46" s="167">
        <f t="shared" si="60"/>
        <v>1</v>
      </c>
      <c r="W46" s="121"/>
      <c r="X46" s="165" t="s">
        <v>42</v>
      </c>
      <c r="Y46" s="129" t="str">
        <f t="shared" si="8"/>
        <v>*</v>
      </c>
      <c r="Z46" s="118"/>
      <c r="AA46" s="121"/>
    </row>
    <row r="47" spans="1:27" s="1" customFormat="1" x14ac:dyDescent="0.25">
      <c r="A47" s="34"/>
      <c r="B47" s="118">
        <v>100</v>
      </c>
      <c r="C47" s="118">
        <v>4000</v>
      </c>
      <c r="D47" s="118">
        <v>5500</v>
      </c>
      <c r="E47" s="118">
        <v>310</v>
      </c>
      <c r="F47" s="109" t="s">
        <v>258</v>
      </c>
      <c r="G47" s="121">
        <v>0</v>
      </c>
      <c r="H47" s="110"/>
      <c r="I47" s="121">
        <v>8304.3333333333321</v>
      </c>
      <c r="J47" s="112"/>
      <c r="K47" s="121">
        <v>0</v>
      </c>
      <c r="L47" s="111"/>
      <c r="M47" s="121">
        <v>0</v>
      </c>
      <c r="N47" s="112"/>
      <c r="O47" s="121">
        <f t="shared" si="4"/>
        <v>8304.3333333333321</v>
      </c>
      <c r="P47" s="121"/>
      <c r="Q47" s="121">
        <f t="shared" ref="Q47" si="64">SUBTOTAL(9,R47:S47)</f>
        <v>0</v>
      </c>
      <c r="R47" s="121">
        <v>0</v>
      </c>
      <c r="S47" s="121">
        <f>+M47/'Revenue Input'!$O$77*'Revenue Input'!$O$78*Inf</f>
        <v>0</v>
      </c>
      <c r="T47" s="121">
        <f t="shared" ref="T47" si="65">Q47-R47-S47</f>
        <v>0</v>
      </c>
      <c r="U47" s="167" t="e">
        <f t="shared" ref="U47" si="66">+R47/Q47</f>
        <v>#DIV/0!</v>
      </c>
      <c r="V47" s="167" t="e">
        <f t="shared" ref="V47" si="67">+S47/Q47</f>
        <v>#DIV/0!</v>
      </c>
      <c r="W47" s="121"/>
      <c r="X47" s="165" t="s">
        <v>32</v>
      </c>
      <c r="Y47" s="129" t="str">
        <f t="shared" si="8"/>
        <v>*</v>
      </c>
      <c r="Z47" s="118"/>
      <c r="AA47" s="121"/>
    </row>
    <row r="48" spans="1:27" x14ac:dyDescent="0.25">
      <c r="A48" s="34"/>
      <c r="B48" s="118">
        <v>100</v>
      </c>
      <c r="C48" s="118">
        <v>4000</v>
      </c>
      <c r="D48" s="118">
        <v>5500</v>
      </c>
      <c r="E48" s="118">
        <v>311</v>
      </c>
      <c r="F48" s="109" t="s">
        <v>259</v>
      </c>
      <c r="G48" s="121">
        <v>0</v>
      </c>
      <c r="I48" s="121">
        <v>1260</v>
      </c>
      <c r="J48" s="112"/>
      <c r="K48" s="121">
        <v>0</v>
      </c>
      <c r="L48" s="111"/>
      <c r="M48" s="121">
        <v>0</v>
      </c>
      <c r="N48" s="112"/>
      <c r="O48" s="121">
        <f t="shared" si="4"/>
        <v>1260</v>
      </c>
      <c r="P48" s="121"/>
      <c r="Q48" s="121">
        <f t="shared" ref="Q48:Q52" si="68">SUBTOTAL(9,R48:S48)</f>
        <v>0</v>
      </c>
      <c r="R48" s="121">
        <v>0</v>
      </c>
      <c r="S48" s="121">
        <f>+M48/'Revenue Input'!$O$77*'Revenue Input'!$O$78*Inf</f>
        <v>0</v>
      </c>
      <c r="T48" s="121">
        <f t="shared" ref="T48:T52" si="69">Q48-R48-S48</f>
        <v>0</v>
      </c>
      <c r="U48" s="167" t="e">
        <f t="shared" ref="U48:U52" si="70">+R48/Q48</f>
        <v>#DIV/0!</v>
      </c>
      <c r="V48" s="167" t="e">
        <f t="shared" ref="V48:V52" si="71">+S48/Q48</f>
        <v>#DIV/0!</v>
      </c>
      <c r="W48" s="121"/>
      <c r="X48" s="165" t="s">
        <v>32</v>
      </c>
      <c r="Y48" s="129" t="str">
        <f t="shared" si="8"/>
        <v>*</v>
      </c>
      <c r="Z48" s="118"/>
      <c r="AA48" s="121"/>
    </row>
    <row r="49" spans="1:27" hidden="1" x14ac:dyDescent="0.25">
      <c r="A49" s="34"/>
      <c r="B49" s="118">
        <v>100</v>
      </c>
      <c r="C49" s="118">
        <v>4000</v>
      </c>
      <c r="D49" s="118">
        <v>5500</v>
      </c>
      <c r="E49" s="118">
        <v>510</v>
      </c>
      <c r="F49" s="109" t="s">
        <v>246</v>
      </c>
      <c r="G49" s="121">
        <v>0</v>
      </c>
      <c r="I49" s="121">
        <v>0</v>
      </c>
      <c r="J49" s="112"/>
      <c r="K49" s="121">
        <v>0</v>
      </c>
      <c r="L49" s="111"/>
      <c r="M49" s="121">
        <v>0</v>
      </c>
      <c r="N49" s="112"/>
      <c r="O49" s="121">
        <f t="shared" si="4"/>
        <v>0</v>
      </c>
      <c r="P49" s="121"/>
      <c r="Q49" s="121">
        <f t="shared" si="68"/>
        <v>0</v>
      </c>
      <c r="R49" s="121">
        <v>0</v>
      </c>
      <c r="S49" s="121">
        <f>+M49/'Revenue Input'!$O$77*'Revenue Input'!$O$78*Inf</f>
        <v>0</v>
      </c>
      <c r="T49" s="121">
        <f t="shared" si="69"/>
        <v>0</v>
      </c>
      <c r="U49" s="167" t="e">
        <f t="shared" si="70"/>
        <v>#DIV/0!</v>
      </c>
      <c r="V49" s="167" t="e">
        <f t="shared" si="71"/>
        <v>#DIV/0!</v>
      </c>
      <c r="W49" s="121"/>
      <c r="X49" s="165" t="s">
        <v>32</v>
      </c>
      <c r="Y49" s="129" t="str">
        <f t="shared" si="8"/>
        <v/>
      </c>
      <c r="Z49" s="118"/>
      <c r="AA49" s="121"/>
    </row>
    <row r="50" spans="1:27" s="1" customFormat="1" hidden="1" x14ac:dyDescent="0.25">
      <c r="A50" s="34"/>
      <c r="B50" s="118">
        <v>100</v>
      </c>
      <c r="C50" s="118">
        <v>4000</v>
      </c>
      <c r="D50" s="118">
        <v>5500</v>
      </c>
      <c r="E50" s="118">
        <v>640</v>
      </c>
      <c r="F50" s="109" t="s">
        <v>260</v>
      </c>
      <c r="G50" s="121">
        <v>0</v>
      </c>
      <c r="H50" s="110"/>
      <c r="I50" s="121">
        <v>0</v>
      </c>
      <c r="J50" s="112"/>
      <c r="K50" s="121">
        <v>0</v>
      </c>
      <c r="L50" s="110"/>
      <c r="M50" s="121">
        <v>0</v>
      </c>
      <c r="N50" s="112"/>
      <c r="O50" s="121">
        <f t="shared" si="4"/>
        <v>0</v>
      </c>
      <c r="P50" s="121"/>
      <c r="Q50" s="121">
        <f t="shared" si="68"/>
        <v>0</v>
      </c>
      <c r="R50" s="121">
        <v>0</v>
      </c>
      <c r="S50" s="121">
        <f>+M50/'Revenue Input'!$O$77*'Revenue Input'!$O$78*Inf</f>
        <v>0</v>
      </c>
      <c r="T50" s="121">
        <f t="shared" si="69"/>
        <v>0</v>
      </c>
      <c r="U50" s="167" t="e">
        <f t="shared" si="70"/>
        <v>#DIV/0!</v>
      </c>
      <c r="V50" s="167" t="e">
        <f t="shared" si="71"/>
        <v>#DIV/0!</v>
      </c>
      <c r="W50" s="121"/>
      <c r="X50" s="165" t="s">
        <v>32</v>
      </c>
      <c r="Y50" s="129" t="str">
        <f t="shared" si="8"/>
        <v/>
      </c>
      <c r="Z50" s="118"/>
      <c r="AA50" s="121"/>
    </row>
    <row r="51" spans="1:27" s="129" customFormat="1" x14ac:dyDescent="0.25">
      <c r="A51" s="34"/>
      <c r="B51" s="118">
        <v>100</v>
      </c>
      <c r="C51" s="118">
        <v>4000</v>
      </c>
      <c r="D51" s="118">
        <v>5500</v>
      </c>
      <c r="E51" s="118">
        <v>750</v>
      </c>
      <c r="F51" s="109" t="s">
        <v>257</v>
      </c>
      <c r="G51" s="121"/>
      <c r="H51" s="110"/>
      <c r="I51" s="121">
        <v>114</v>
      </c>
      <c r="J51" s="112"/>
      <c r="K51" s="121"/>
      <c r="L51" s="110"/>
      <c r="M51" s="121">
        <v>0</v>
      </c>
      <c r="N51" s="112"/>
      <c r="O51" s="121">
        <f t="shared" si="4"/>
        <v>114</v>
      </c>
      <c r="P51" s="121"/>
      <c r="Q51" s="121">
        <f t="shared" si="68"/>
        <v>0</v>
      </c>
      <c r="R51" s="121">
        <v>0</v>
      </c>
      <c r="S51" s="121">
        <f>+M51/'Revenue Input'!$O$77*'Revenue Input'!$O$78*Inf</f>
        <v>0</v>
      </c>
      <c r="T51" s="121">
        <f t="shared" si="69"/>
        <v>0</v>
      </c>
      <c r="U51" s="167" t="e">
        <f t="shared" si="70"/>
        <v>#DIV/0!</v>
      </c>
      <c r="V51" s="167" t="e">
        <f t="shared" si="71"/>
        <v>#DIV/0!</v>
      </c>
      <c r="W51" s="121"/>
      <c r="X51" s="165" t="s">
        <v>32</v>
      </c>
      <c r="Y51" s="129" t="str">
        <f t="shared" si="8"/>
        <v>*</v>
      </c>
      <c r="Z51" s="118"/>
      <c r="AA51" s="121"/>
    </row>
    <row r="52" spans="1:27" s="129" customFormat="1" x14ac:dyDescent="0.25">
      <c r="A52" s="34"/>
      <c r="B52" s="118">
        <v>100</v>
      </c>
      <c r="C52" s="118">
        <v>4000</v>
      </c>
      <c r="D52" s="118">
        <v>6130</v>
      </c>
      <c r="E52" s="118">
        <v>310</v>
      </c>
      <c r="F52" s="109" t="s">
        <v>261</v>
      </c>
      <c r="G52" s="121">
        <v>0</v>
      </c>
      <c r="H52" s="110"/>
      <c r="I52" s="121">
        <v>7095</v>
      </c>
      <c r="J52" s="112"/>
      <c r="K52" s="121">
        <v>0</v>
      </c>
      <c r="L52" s="110"/>
      <c r="M52" s="121">
        <v>5445</v>
      </c>
      <c r="N52" s="112"/>
      <c r="O52" s="121">
        <f t="shared" si="4"/>
        <v>12540</v>
      </c>
      <c r="P52" s="121"/>
      <c r="Q52" s="121">
        <f t="shared" si="68"/>
        <v>13844.76478361955</v>
      </c>
      <c r="R52" s="121">
        <f>+I52/'Revenue Input'!$O$73*'Revenue Input'!$O$74*Inf</f>
        <v>7673.1448763250883</v>
      </c>
      <c r="S52" s="121">
        <f>+M52/'Revenue Input'!$O$77*'Revenue Input'!$O$78*Inf</f>
        <v>6171.6199072944628</v>
      </c>
      <c r="T52" s="121">
        <f t="shared" si="69"/>
        <v>0</v>
      </c>
      <c r="U52" s="167">
        <f t="shared" si="70"/>
        <v>0.55422717512713393</v>
      </c>
      <c r="V52" s="167">
        <f t="shared" si="71"/>
        <v>0.44577282487286618</v>
      </c>
      <c r="W52" s="121"/>
      <c r="X52" s="165" t="s">
        <v>42</v>
      </c>
      <c r="Y52" s="129" t="str">
        <f t="shared" si="8"/>
        <v>*</v>
      </c>
      <c r="Z52" s="118"/>
      <c r="AA52" s="121"/>
    </row>
    <row r="53" spans="1:27" s="129" customFormat="1" hidden="1" x14ac:dyDescent="0.25">
      <c r="A53" s="34"/>
      <c r="B53" s="118">
        <v>435</v>
      </c>
      <c r="C53" s="118">
        <v>4000</v>
      </c>
      <c r="D53" s="118">
        <v>6131</v>
      </c>
      <c r="E53" s="118">
        <v>510</v>
      </c>
      <c r="F53" s="109" t="s">
        <v>262</v>
      </c>
      <c r="G53" s="121">
        <v>0</v>
      </c>
      <c r="H53" s="110"/>
      <c r="I53" s="121">
        <v>0</v>
      </c>
      <c r="J53" s="112"/>
      <c r="K53" s="121">
        <v>0</v>
      </c>
      <c r="L53" s="110"/>
      <c r="M53" s="121">
        <v>0</v>
      </c>
      <c r="N53" s="112"/>
      <c r="O53" s="121">
        <f t="shared" ref="O53" si="72">I53+M53</f>
        <v>0</v>
      </c>
      <c r="P53" s="121"/>
      <c r="Q53" s="121">
        <f t="shared" si="0"/>
        <v>0</v>
      </c>
      <c r="R53" s="121">
        <v>0</v>
      </c>
      <c r="S53" s="121">
        <v>0</v>
      </c>
      <c r="T53" s="121">
        <f t="shared" ref="T53" si="73">Q53-R53-S53</f>
        <v>0</v>
      </c>
      <c r="U53" s="167" t="e">
        <f t="shared" ref="U53" si="74">+R53/Q53</f>
        <v>#DIV/0!</v>
      </c>
      <c r="V53" s="167" t="e">
        <f t="shared" ref="V53" si="75">+S53/Q53</f>
        <v>#DIV/0!</v>
      </c>
      <c r="W53" s="121"/>
      <c r="X53" s="165" t="s">
        <v>332</v>
      </c>
      <c r="Y53" s="129" t="str">
        <f t="shared" ref="Y53" si="76">IF((Q53+O53)&gt;0.49,"*","")</f>
        <v/>
      </c>
      <c r="Z53" s="118"/>
      <c r="AA53" s="121"/>
    </row>
    <row r="54" spans="1:27" s="129" customFormat="1" x14ac:dyDescent="0.25">
      <c r="A54" s="34"/>
      <c r="B54" s="118">
        <v>432</v>
      </c>
      <c r="C54" s="118">
        <v>4000</v>
      </c>
      <c r="D54" s="118">
        <v>6150</v>
      </c>
      <c r="E54" s="118">
        <v>511</v>
      </c>
      <c r="F54" s="109" t="s">
        <v>263</v>
      </c>
      <c r="G54" s="121">
        <v>0</v>
      </c>
      <c r="H54" s="110"/>
      <c r="I54" s="121">
        <v>2555</v>
      </c>
      <c r="J54" s="112"/>
      <c r="K54" s="121">
        <v>0</v>
      </c>
      <c r="L54" s="110"/>
      <c r="M54" s="121">
        <v>2055</v>
      </c>
      <c r="N54" s="112"/>
      <c r="O54" s="121">
        <f t="shared" si="4"/>
        <v>4610</v>
      </c>
      <c r="P54" s="121"/>
      <c r="Q54" s="121">
        <f t="shared" si="0"/>
        <v>6124</v>
      </c>
      <c r="R54" s="121">
        <f>3000+62</f>
        <v>3062</v>
      </c>
      <c r="S54" s="121">
        <v>3062</v>
      </c>
      <c r="T54" s="121">
        <f t="shared" si="48"/>
        <v>0</v>
      </c>
      <c r="U54" s="167">
        <f t="shared" si="49"/>
        <v>0.5</v>
      </c>
      <c r="V54" s="167">
        <f t="shared" si="50"/>
        <v>0.5</v>
      </c>
      <c r="W54" s="121"/>
      <c r="X54" s="165" t="s">
        <v>142</v>
      </c>
      <c r="Y54" s="129" t="str">
        <f t="shared" si="8"/>
        <v>*</v>
      </c>
      <c r="Z54" s="118"/>
      <c r="AA54" s="121"/>
    </row>
    <row r="55" spans="1:27" x14ac:dyDescent="0.25">
      <c r="A55" s="34"/>
      <c r="B55" s="118">
        <v>100</v>
      </c>
      <c r="C55" s="118">
        <v>4000</v>
      </c>
      <c r="D55" s="118">
        <v>6200</v>
      </c>
      <c r="E55" s="118">
        <v>610</v>
      </c>
      <c r="F55" s="109" t="s">
        <v>264</v>
      </c>
      <c r="G55" s="121">
        <v>0</v>
      </c>
      <c r="I55" s="121">
        <v>2287.36</v>
      </c>
      <c r="J55" s="112"/>
      <c r="K55" s="121">
        <v>0</v>
      </c>
      <c r="L55" s="111"/>
      <c r="M55" s="121">
        <v>1260.99</v>
      </c>
      <c r="N55" s="112"/>
      <c r="O55" s="121">
        <f t="shared" si="4"/>
        <v>3548.3500000000004</v>
      </c>
      <c r="P55" s="121"/>
      <c r="Q55" s="121">
        <f t="shared" si="0"/>
        <v>3903.0139293951306</v>
      </c>
      <c r="R55" s="121">
        <f>+I55/'Revenue Input'!$O$73*'Revenue Input'!$O$74*Inf</f>
        <v>2473.7483670628544</v>
      </c>
      <c r="S55" s="121">
        <f>+M55/'Revenue Input'!$O$77*'Revenue Input'!$O$78*Inf</f>
        <v>1429.2655623322764</v>
      </c>
      <c r="T55" s="121">
        <f t="shared" si="48"/>
        <v>0</v>
      </c>
      <c r="U55" s="167">
        <f t="shared" si="49"/>
        <v>0.63380464733473896</v>
      </c>
      <c r="V55" s="167">
        <f t="shared" si="50"/>
        <v>0.3661953526652611</v>
      </c>
      <c r="W55" s="121"/>
      <c r="X55" s="165" t="s">
        <v>42</v>
      </c>
      <c r="Y55" s="129" t="str">
        <f t="shared" si="8"/>
        <v>*</v>
      </c>
      <c r="Z55" s="118"/>
      <c r="AA55" s="121"/>
    </row>
    <row r="56" spans="1:27" x14ac:dyDescent="0.25">
      <c r="A56" s="34"/>
      <c r="B56" s="118">
        <v>100</v>
      </c>
      <c r="C56" s="118">
        <v>4000</v>
      </c>
      <c r="D56" s="118">
        <v>6300</v>
      </c>
      <c r="E56" s="118">
        <v>590</v>
      </c>
      <c r="F56" s="109" t="s">
        <v>265</v>
      </c>
      <c r="G56" s="121">
        <v>0</v>
      </c>
      <c r="I56" s="121">
        <v>217.75</v>
      </c>
      <c r="J56" s="112"/>
      <c r="K56" s="121">
        <v>0</v>
      </c>
      <c r="L56" s="111"/>
      <c r="M56" s="121">
        <v>0</v>
      </c>
      <c r="N56" s="112"/>
      <c r="O56" s="121">
        <f t="shared" si="4"/>
        <v>217.75</v>
      </c>
      <c r="P56" s="121"/>
      <c r="Q56" s="121">
        <f t="shared" si="0"/>
        <v>235.49362886818716</v>
      </c>
      <c r="R56" s="121">
        <f>+I56/'Revenue Input'!$O$73*'Revenue Input'!$O$74*Inf</f>
        <v>235.49362886818716</v>
      </c>
      <c r="S56" s="121">
        <f>+M56/'Revenue Input'!$O$77*'Revenue Input'!$O$78*Inf</f>
        <v>0</v>
      </c>
      <c r="T56" s="121">
        <f t="shared" ref="T56:T57" si="77">Q56-R56-S56</f>
        <v>0</v>
      </c>
      <c r="U56" s="167">
        <f t="shared" ref="U56:U57" si="78">+R56/Q56</f>
        <v>1</v>
      </c>
      <c r="V56" s="167">
        <f t="shared" ref="V56:V57" si="79">+S56/Q56</f>
        <v>0</v>
      </c>
      <c r="W56" s="121"/>
      <c r="X56" s="165" t="s">
        <v>42</v>
      </c>
      <c r="Y56" s="129" t="str">
        <f t="shared" si="8"/>
        <v>*</v>
      </c>
      <c r="Z56" s="118"/>
      <c r="AA56" s="121"/>
    </row>
    <row r="57" spans="1:27" x14ac:dyDescent="0.25">
      <c r="A57" s="34"/>
      <c r="B57" s="118">
        <v>100</v>
      </c>
      <c r="C57" s="118">
        <v>4000</v>
      </c>
      <c r="D57" s="118">
        <v>6400</v>
      </c>
      <c r="E57" s="118">
        <v>310</v>
      </c>
      <c r="F57" s="109" t="s">
        <v>266</v>
      </c>
      <c r="G57" s="121">
        <v>0</v>
      </c>
      <c r="I57" s="121">
        <v>4133.33</v>
      </c>
      <c r="J57" s="112"/>
      <c r="K57" s="121">
        <v>0</v>
      </c>
      <c r="M57" s="121">
        <v>4308.34</v>
      </c>
      <c r="N57" s="112"/>
      <c r="O57" s="121">
        <f t="shared" si="4"/>
        <v>8441.67</v>
      </c>
      <c r="P57" s="121"/>
      <c r="Q57" s="121">
        <f t="shared" si="0"/>
        <v>9353.41535556284</v>
      </c>
      <c r="R57" s="121">
        <f>+I57/'Revenue Input'!$O$73*'Revenue Input'!$O$74*Inf</f>
        <v>4470.139522432808</v>
      </c>
      <c r="S57" s="121">
        <f>+M57/'Revenue Input'!$O$77*'Revenue Input'!$O$78*Inf</f>
        <v>4883.275833130032</v>
      </c>
      <c r="T57" s="121">
        <f t="shared" si="77"/>
        <v>0</v>
      </c>
      <c r="U57" s="167">
        <f t="shared" si="78"/>
        <v>0.47791521626100375</v>
      </c>
      <c r="V57" s="167">
        <f t="shared" si="79"/>
        <v>0.52208478373899625</v>
      </c>
      <c r="W57" s="121"/>
      <c r="X57" s="165" t="s">
        <v>42</v>
      </c>
      <c r="Y57" s="129" t="str">
        <f t="shared" si="8"/>
        <v>*</v>
      </c>
      <c r="Z57" s="118"/>
      <c r="AA57" s="121"/>
    </row>
    <row r="58" spans="1:27" x14ac:dyDescent="0.25">
      <c r="A58" s="34"/>
      <c r="B58" s="118">
        <v>432</v>
      </c>
      <c r="C58" s="118">
        <v>4000</v>
      </c>
      <c r="D58" s="118">
        <v>6401</v>
      </c>
      <c r="E58" s="118">
        <v>310</v>
      </c>
      <c r="F58" s="109" t="s">
        <v>266</v>
      </c>
      <c r="G58" s="121">
        <v>0</v>
      </c>
      <c r="I58" s="121">
        <v>0</v>
      </c>
      <c r="J58" s="112"/>
      <c r="K58" s="121">
        <v>0</v>
      </c>
      <c r="M58" s="121">
        <v>0</v>
      </c>
      <c r="N58" s="112"/>
      <c r="O58" s="121">
        <f t="shared" ref="O58" si="80">I58+M58</f>
        <v>0</v>
      </c>
      <c r="P58" s="121"/>
      <c r="Q58" s="121">
        <f t="shared" ref="Q58" si="81">SUBTOTAL(9,R58:S58)</f>
        <v>1200</v>
      </c>
      <c r="R58" s="121">
        <v>600</v>
      </c>
      <c r="S58" s="121">
        <v>600</v>
      </c>
      <c r="T58" s="121">
        <f t="shared" ref="T58" si="82">Q58-R58-S58</f>
        <v>0</v>
      </c>
      <c r="U58" s="167">
        <f t="shared" ref="U58" si="83">+R58/Q58</f>
        <v>0.5</v>
      </c>
      <c r="V58" s="167">
        <f t="shared" ref="V58" si="84">+S58/Q58</f>
        <v>0.5</v>
      </c>
      <c r="W58" s="121"/>
      <c r="X58" s="165" t="s">
        <v>417</v>
      </c>
      <c r="Y58" s="129" t="str">
        <f t="shared" ref="Y58" si="85">IF((Q58+O58)&gt;0.49,"*","")</f>
        <v>*</v>
      </c>
      <c r="Z58" s="118"/>
      <c r="AA58" s="121"/>
    </row>
    <row r="59" spans="1:27" x14ac:dyDescent="0.25">
      <c r="A59" s="34"/>
      <c r="B59" s="118">
        <v>493</v>
      </c>
      <c r="C59" s="118">
        <v>4000</v>
      </c>
      <c r="D59" s="118">
        <v>6400</v>
      </c>
      <c r="E59" s="118">
        <v>310</v>
      </c>
      <c r="F59" s="109" t="s">
        <v>266</v>
      </c>
      <c r="G59" s="121">
        <v>0</v>
      </c>
      <c r="I59" s="121">
        <v>10500</v>
      </c>
      <c r="J59" s="112"/>
      <c r="K59" s="121">
        <v>0</v>
      </c>
      <c r="M59" s="121">
        <v>10500</v>
      </c>
      <c r="N59" s="112"/>
      <c r="O59" s="121">
        <f t="shared" ref="O59" si="86">I59+M59</f>
        <v>21000</v>
      </c>
      <c r="P59" s="121"/>
      <c r="Q59" s="121">
        <f t="shared" ref="Q59" si="87">SUBTOTAL(9,R59:S59)</f>
        <v>0</v>
      </c>
      <c r="R59" s="121">
        <v>0</v>
      </c>
      <c r="S59" s="121">
        <v>0</v>
      </c>
      <c r="T59" s="121">
        <f t="shared" ref="T59:T61" si="88">Q59-R59-S59</f>
        <v>0</v>
      </c>
      <c r="U59" s="167" t="e">
        <f t="shared" ref="U59:U61" si="89">+R59/Q59</f>
        <v>#DIV/0!</v>
      </c>
      <c r="V59" s="167" t="e">
        <f t="shared" ref="V59:V61" si="90">+S59/Q59</f>
        <v>#DIV/0!</v>
      </c>
      <c r="W59" s="121"/>
      <c r="X59" s="165" t="s">
        <v>338</v>
      </c>
      <c r="Y59" s="129" t="str">
        <f t="shared" ref="Y59" si="91">IF((Q59+O59)&gt;0.49,"*","")</f>
        <v>*</v>
      </c>
      <c r="Z59" s="118"/>
      <c r="AA59" s="121"/>
    </row>
    <row r="60" spans="1:27" hidden="1" x14ac:dyDescent="0.25">
      <c r="A60" s="34"/>
      <c r="B60" s="118">
        <v>100</v>
      </c>
      <c r="C60" s="118">
        <v>4000</v>
      </c>
      <c r="D60" s="118">
        <v>6400</v>
      </c>
      <c r="E60" s="118">
        <v>330</v>
      </c>
      <c r="F60" s="109" t="s">
        <v>238</v>
      </c>
      <c r="G60" s="121">
        <v>0</v>
      </c>
      <c r="I60" s="121">
        <v>0</v>
      </c>
      <c r="J60" s="112"/>
      <c r="K60" s="121">
        <v>0</v>
      </c>
      <c r="L60" s="111"/>
      <c r="M60" s="121">
        <v>0</v>
      </c>
      <c r="N60" s="112"/>
      <c r="O60" s="121">
        <f t="shared" si="4"/>
        <v>0</v>
      </c>
      <c r="P60" s="121"/>
      <c r="Q60" s="121">
        <f t="shared" si="0"/>
        <v>0</v>
      </c>
      <c r="R60" s="121">
        <f>+I60/'Revenue Input'!$O$73*'Revenue Input'!$O$74*Inf</f>
        <v>0</v>
      </c>
      <c r="S60" s="121">
        <f>+M60/'Revenue Input'!$O$77*'Revenue Input'!$O$78*Inf</f>
        <v>0</v>
      </c>
      <c r="T60" s="121">
        <f t="shared" si="88"/>
        <v>0</v>
      </c>
      <c r="U60" s="167" t="e">
        <f t="shared" si="89"/>
        <v>#DIV/0!</v>
      </c>
      <c r="V60" s="167" t="e">
        <f t="shared" si="90"/>
        <v>#DIV/0!</v>
      </c>
      <c r="W60" s="121"/>
      <c r="X60" s="165" t="s">
        <v>42</v>
      </c>
      <c r="Y60" s="129" t="str">
        <f t="shared" si="8"/>
        <v/>
      </c>
      <c r="Z60" s="118"/>
      <c r="AA60" s="121"/>
    </row>
    <row r="61" spans="1:27" x14ac:dyDescent="0.25">
      <c r="A61" s="34"/>
      <c r="B61" s="118">
        <v>100</v>
      </c>
      <c r="C61" s="118">
        <v>4000</v>
      </c>
      <c r="D61" s="118">
        <v>6500</v>
      </c>
      <c r="E61" s="118">
        <v>310</v>
      </c>
      <c r="F61" s="109" t="s">
        <v>267</v>
      </c>
      <c r="G61" s="121">
        <v>0</v>
      </c>
      <c r="I61" s="121">
        <v>2154.08</v>
      </c>
      <c r="J61" s="112"/>
      <c r="K61" s="121">
        <v>0</v>
      </c>
      <c r="M61" s="121">
        <v>2000.8</v>
      </c>
      <c r="N61" s="112"/>
      <c r="O61" s="121">
        <f t="shared" si="4"/>
        <v>4154.88</v>
      </c>
      <c r="P61" s="121"/>
      <c r="Q61" s="121">
        <f t="shared" si="0"/>
        <v>4196.4288000000006</v>
      </c>
      <c r="R61" s="121">
        <f>(O61)*Inf*55%</f>
        <v>2308.0358400000005</v>
      </c>
      <c r="S61" s="121">
        <f>(O61*Inf)*45%</f>
        <v>1888.3929600000004</v>
      </c>
      <c r="T61" s="121">
        <f t="shared" si="88"/>
        <v>0</v>
      </c>
      <c r="U61" s="167">
        <f t="shared" si="89"/>
        <v>0.55000000000000004</v>
      </c>
      <c r="V61" s="167">
        <f t="shared" si="90"/>
        <v>0.45</v>
      </c>
      <c r="W61" s="121"/>
      <c r="X61" s="165" t="s">
        <v>368</v>
      </c>
      <c r="Y61" s="129" t="str">
        <f t="shared" si="8"/>
        <v>*</v>
      </c>
      <c r="Z61" s="118"/>
      <c r="AA61" s="121"/>
    </row>
    <row r="62" spans="1:27" x14ac:dyDescent="0.25">
      <c r="A62" s="34"/>
      <c r="B62" s="118">
        <v>495</v>
      </c>
      <c r="C62" s="118">
        <v>4000</v>
      </c>
      <c r="D62" s="118">
        <v>6500</v>
      </c>
      <c r="E62" s="118">
        <v>310</v>
      </c>
      <c r="F62" s="109" t="s">
        <v>267</v>
      </c>
      <c r="G62" s="121">
        <v>0</v>
      </c>
      <c r="I62" s="121">
        <v>0</v>
      </c>
      <c r="J62" s="112"/>
      <c r="K62" s="121">
        <v>0</v>
      </c>
      <c r="M62" s="121">
        <v>6905.1</v>
      </c>
      <c r="N62" s="112"/>
      <c r="O62" s="121">
        <f t="shared" si="4"/>
        <v>6905.1</v>
      </c>
      <c r="P62" s="121"/>
      <c r="Q62" s="121">
        <f t="shared" si="0"/>
        <v>0</v>
      </c>
      <c r="R62" s="121">
        <v>0</v>
      </c>
      <c r="S62" s="121">
        <v>0</v>
      </c>
      <c r="T62" s="121">
        <f t="shared" si="48"/>
        <v>0</v>
      </c>
      <c r="U62" s="167" t="e">
        <f t="shared" si="49"/>
        <v>#DIV/0!</v>
      </c>
      <c r="V62" s="167" t="e">
        <f t="shared" si="50"/>
        <v>#DIV/0!</v>
      </c>
      <c r="W62" s="121"/>
      <c r="X62" s="165" t="s">
        <v>339</v>
      </c>
      <c r="Y62" s="129" t="str">
        <f t="shared" si="8"/>
        <v>*</v>
      </c>
      <c r="Z62" s="118"/>
      <c r="AA62" s="121"/>
    </row>
    <row r="63" spans="1:27" x14ac:dyDescent="0.25">
      <c r="A63" s="34"/>
      <c r="B63" s="118">
        <v>100</v>
      </c>
      <c r="C63" s="118">
        <v>4000</v>
      </c>
      <c r="D63" s="118">
        <v>6500</v>
      </c>
      <c r="E63" s="118">
        <v>643</v>
      </c>
      <c r="F63" s="109" t="s">
        <v>268</v>
      </c>
      <c r="G63" s="121">
        <v>0</v>
      </c>
      <c r="I63" s="121">
        <v>1215.5</v>
      </c>
      <c r="J63" s="112"/>
      <c r="K63" s="121">
        <v>0</v>
      </c>
      <c r="M63" s="121">
        <v>1012.5</v>
      </c>
      <c r="N63" s="112"/>
      <c r="O63" s="121">
        <f t="shared" si="4"/>
        <v>2228</v>
      </c>
      <c r="P63" s="121"/>
      <c r="Q63" s="121">
        <f t="shared" ref="Q63" si="92">SUBTOTAL(9,R63:S63)</f>
        <v>2462.1617973414759</v>
      </c>
      <c r="R63" s="121">
        <f>+I63/'Revenue Input'!$O$73*'Revenue Input'!$O$74*Inf</f>
        <v>1314.5465253239104</v>
      </c>
      <c r="S63" s="121">
        <f>+M63/'Revenue Input'!$O$77*'Revenue Input'!$O$78*Inf</f>
        <v>1147.6152720175655</v>
      </c>
      <c r="T63" s="121">
        <f t="shared" si="48"/>
        <v>0</v>
      </c>
      <c r="U63" s="167">
        <f t="shared" si="49"/>
        <v>0.53389932649564076</v>
      </c>
      <c r="V63" s="167">
        <f t="shared" si="50"/>
        <v>0.46610067350435924</v>
      </c>
      <c r="W63" s="121"/>
      <c r="X63" s="165" t="s">
        <v>42</v>
      </c>
      <c r="Y63" s="129" t="str">
        <f t="shared" si="8"/>
        <v>*</v>
      </c>
      <c r="Z63" s="118"/>
      <c r="AA63" s="121"/>
    </row>
    <row r="64" spans="1:27" hidden="1" x14ac:dyDescent="0.25">
      <c r="A64" s="34"/>
      <c r="B64" s="118">
        <v>493</v>
      </c>
      <c r="C64" s="118">
        <v>4000</v>
      </c>
      <c r="D64" s="118">
        <v>6500</v>
      </c>
      <c r="E64" s="118">
        <v>648</v>
      </c>
      <c r="F64" s="109" t="s">
        <v>337</v>
      </c>
      <c r="G64" s="121">
        <v>0</v>
      </c>
      <c r="I64" s="121">
        <v>0</v>
      </c>
      <c r="J64" s="112"/>
      <c r="K64" s="121">
        <v>0</v>
      </c>
      <c r="M64" s="121">
        <v>0</v>
      </c>
      <c r="N64" s="112"/>
      <c r="O64" s="121">
        <f t="shared" si="4"/>
        <v>0</v>
      </c>
      <c r="P64" s="121"/>
      <c r="Q64" s="121">
        <f t="shared" si="0"/>
        <v>0</v>
      </c>
      <c r="R64" s="121">
        <v>0</v>
      </c>
      <c r="S64" s="121">
        <v>0</v>
      </c>
      <c r="T64" s="121">
        <f t="shared" ref="T64:T67" si="93">Q64-R64-S64</f>
        <v>0</v>
      </c>
      <c r="U64" s="167" t="e">
        <f t="shared" ref="U64:U67" si="94">+R64/Q64</f>
        <v>#DIV/0!</v>
      </c>
      <c r="V64" s="167" t="e">
        <f t="shared" ref="V64:V67" si="95">+S64/Q64</f>
        <v>#DIV/0!</v>
      </c>
      <c r="W64" s="121"/>
      <c r="X64" s="165" t="s">
        <v>338</v>
      </c>
      <c r="Y64" s="129" t="str">
        <f t="shared" si="8"/>
        <v/>
      </c>
      <c r="Z64" s="118"/>
      <c r="AA64" s="121"/>
    </row>
    <row r="65" spans="1:27" hidden="1" x14ac:dyDescent="0.25">
      <c r="A65" s="34"/>
      <c r="B65" s="118">
        <v>493</v>
      </c>
      <c r="C65" s="118">
        <v>4000</v>
      </c>
      <c r="D65" s="118">
        <v>6500</v>
      </c>
      <c r="E65" s="118">
        <v>690</v>
      </c>
      <c r="F65" s="109" t="s">
        <v>255</v>
      </c>
      <c r="G65" s="121">
        <v>0</v>
      </c>
      <c r="I65" s="121">
        <v>0</v>
      </c>
      <c r="J65" s="112"/>
      <c r="K65" s="121">
        <v>0</v>
      </c>
      <c r="M65" s="121">
        <v>0</v>
      </c>
      <c r="N65" s="112"/>
      <c r="O65" s="121">
        <f t="shared" ref="O65" si="96">I65+M65</f>
        <v>0</v>
      </c>
      <c r="P65" s="121"/>
      <c r="Q65" s="121">
        <f t="shared" ref="Q65" si="97">SUBTOTAL(9,R65:S65)</f>
        <v>0</v>
      </c>
      <c r="R65" s="121">
        <v>0</v>
      </c>
      <c r="S65" s="121">
        <v>0</v>
      </c>
      <c r="T65" s="121">
        <f t="shared" ref="T65" si="98">Q65-R65-S65</f>
        <v>0</v>
      </c>
      <c r="U65" s="167" t="e">
        <f t="shared" ref="U65" si="99">+R65/Q65</f>
        <v>#DIV/0!</v>
      </c>
      <c r="V65" s="167" t="e">
        <f t="shared" ref="V65" si="100">+S65/Q65</f>
        <v>#DIV/0!</v>
      </c>
      <c r="W65" s="121"/>
      <c r="X65" s="165" t="s">
        <v>338</v>
      </c>
      <c r="Y65" s="129" t="str">
        <f t="shared" ref="Y65" si="101">IF((Q65+O65)&gt;0.49,"*","")</f>
        <v/>
      </c>
      <c r="Z65" s="118"/>
      <c r="AA65" s="121"/>
    </row>
    <row r="66" spans="1:27" x14ac:dyDescent="0.25">
      <c r="A66" s="34"/>
      <c r="B66" s="118">
        <v>100</v>
      </c>
      <c r="C66" s="118">
        <v>4000</v>
      </c>
      <c r="D66" s="118">
        <v>7100</v>
      </c>
      <c r="E66" s="118">
        <v>310</v>
      </c>
      <c r="F66" s="109" t="s">
        <v>269</v>
      </c>
      <c r="G66" s="121">
        <v>0</v>
      </c>
      <c r="I66" s="121">
        <v>42167.213333333333</v>
      </c>
      <c r="J66" s="112"/>
      <c r="K66" s="121">
        <v>0</v>
      </c>
      <c r="M66" s="121">
        <v>68661.973333333328</v>
      </c>
      <c r="N66" s="112"/>
      <c r="O66" s="121">
        <f t="shared" si="4"/>
        <v>110829.18666666666</v>
      </c>
      <c r="P66" s="121"/>
      <c r="Q66" s="121">
        <f t="shared" si="0"/>
        <v>111937.47853333334</v>
      </c>
      <c r="R66" s="121">
        <f>+I66*Inf</f>
        <v>42588.885466666667</v>
      </c>
      <c r="S66" s="121">
        <f>+M66*Inf</f>
        <v>69348.593066666668</v>
      </c>
      <c r="T66" s="121">
        <f t="shared" si="93"/>
        <v>0</v>
      </c>
      <c r="U66" s="167">
        <f t="shared" si="94"/>
        <v>0.38047029488862677</v>
      </c>
      <c r="V66" s="167">
        <f t="shared" si="95"/>
        <v>0.61952970511137317</v>
      </c>
      <c r="W66" s="121"/>
      <c r="X66" s="165" t="s">
        <v>270</v>
      </c>
      <c r="Y66" s="129" t="str">
        <f t="shared" si="8"/>
        <v>*</v>
      </c>
      <c r="Z66" s="118"/>
      <c r="AA66" s="121"/>
    </row>
    <row r="67" spans="1:27" x14ac:dyDescent="0.25">
      <c r="A67" s="34"/>
      <c r="B67" s="118">
        <v>495</v>
      </c>
      <c r="C67" s="118">
        <v>4000</v>
      </c>
      <c r="D67" s="118">
        <v>7100</v>
      </c>
      <c r="E67" s="118">
        <v>310</v>
      </c>
      <c r="F67" s="109" t="s">
        <v>235</v>
      </c>
      <c r="G67" s="121"/>
      <c r="I67" s="121">
        <v>0</v>
      </c>
      <c r="J67" s="112"/>
      <c r="K67" s="121"/>
      <c r="M67" s="121">
        <v>11342.56</v>
      </c>
      <c r="N67" s="112"/>
      <c r="O67" s="121">
        <f t="shared" si="4"/>
        <v>11342.56</v>
      </c>
      <c r="P67" s="121"/>
      <c r="Q67" s="121">
        <f t="shared" ref="Q67" si="102">SUBTOTAL(9,R67:S67)</f>
        <v>11455.9856</v>
      </c>
      <c r="R67" s="121">
        <f t="shared" ref="R67" si="103">+I67*Inf</f>
        <v>0</v>
      </c>
      <c r="S67" s="121">
        <f t="shared" ref="S67" si="104">+M67*Inf</f>
        <v>11455.9856</v>
      </c>
      <c r="T67" s="121">
        <f t="shared" si="93"/>
        <v>0</v>
      </c>
      <c r="U67" s="167">
        <f t="shared" si="94"/>
        <v>0</v>
      </c>
      <c r="V67" s="167">
        <f t="shared" si="95"/>
        <v>1</v>
      </c>
      <c r="W67" s="121"/>
      <c r="X67" s="165" t="s">
        <v>270</v>
      </c>
      <c r="Y67" s="129" t="str">
        <f t="shared" si="8"/>
        <v>*</v>
      </c>
      <c r="Z67" s="118"/>
      <c r="AA67" s="121"/>
    </row>
    <row r="68" spans="1:27" hidden="1" x14ac:dyDescent="0.25">
      <c r="A68" s="34"/>
      <c r="B68" s="118">
        <v>100</v>
      </c>
      <c r="C68" s="118">
        <v>4000</v>
      </c>
      <c r="D68" s="118">
        <v>7100</v>
      </c>
      <c r="E68" s="118">
        <v>320</v>
      </c>
      <c r="F68" s="109" t="s">
        <v>271</v>
      </c>
      <c r="G68" s="121">
        <v>0</v>
      </c>
      <c r="I68" s="121">
        <v>0</v>
      </c>
      <c r="J68" s="112"/>
      <c r="K68" s="121">
        <v>0</v>
      </c>
      <c r="L68" s="111"/>
      <c r="M68" s="121">
        <v>0</v>
      </c>
      <c r="N68" s="112"/>
      <c r="O68" s="121">
        <f t="shared" si="4"/>
        <v>0</v>
      </c>
      <c r="P68" s="121"/>
      <c r="Q68" s="121">
        <f t="shared" si="0"/>
        <v>0</v>
      </c>
      <c r="R68" s="121">
        <f t="shared" ref="R68" si="105">+I68*Inf</f>
        <v>0</v>
      </c>
      <c r="S68" s="121">
        <f t="shared" ref="S68" si="106">+M68*Inf</f>
        <v>0</v>
      </c>
      <c r="T68" s="121">
        <f t="shared" si="9"/>
        <v>0</v>
      </c>
      <c r="U68" s="167" t="e">
        <f t="shared" si="10"/>
        <v>#DIV/0!</v>
      </c>
      <c r="V68" s="167" t="e">
        <f t="shared" si="11"/>
        <v>#DIV/0!</v>
      </c>
      <c r="W68" s="121"/>
      <c r="X68" s="165" t="s">
        <v>270</v>
      </c>
      <c r="Y68" s="129" t="str">
        <f t="shared" si="8"/>
        <v/>
      </c>
      <c r="Z68" s="118"/>
      <c r="AA68" s="121"/>
    </row>
    <row r="69" spans="1:27" x14ac:dyDescent="0.25">
      <c r="A69" s="34"/>
      <c r="B69" s="118">
        <v>100</v>
      </c>
      <c r="C69" s="118">
        <v>4000</v>
      </c>
      <c r="D69" s="118">
        <v>7100</v>
      </c>
      <c r="E69" s="118">
        <v>330</v>
      </c>
      <c r="F69" s="109" t="s">
        <v>272</v>
      </c>
      <c r="G69" s="121">
        <v>0</v>
      </c>
      <c r="I69" s="121">
        <v>51.080000000000005</v>
      </c>
      <c r="J69" s="112"/>
      <c r="K69" s="121">
        <v>0</v>
      </c>
      <c r="M69" s="121">
        <v>51.093333333333327</v>
      </c>
      <c r="N69" s="112"/>
      <c r="O69" s="121">
        <f t="shared" si="4"/>
        <v>102.17333333333333</v>
      </c>
      <c r="P69" s="121"/>
      <c r="Q69" s="121">
        <f t="shared" si="0"/>
        <v>103.19506666666666</v>
      </c>
      <c r="R69" s="121">
        <f t="shared" ref="R69" si="107">+I69*Inf</f>
        <v>51.590800000000009</v>
      </c>
      <c r="S69" s="121">
        <f t="shared" ref="S69" si="108">+M69*Inf</f>
        <v>51.604266666666661</v>
      </c>
      <c r="T69" s="58">
        <f t="shared" ref="T69:T97" si="109">Q69-R69-S69</f>
        <v>0</v>
      </c>
      <c r="U69" s="59">
        <f t="shared" ref="U69:U97" si="110">+R69/Q69</f>
        <v>0.49993475140284493</v>
      </c>
      <c r="V69" s="59">
        <f t="shared" ref="V69:V97" si="111">+S69/Q69</f>
        <v>0.50006524859715518</v>
      </c>
      <c r="W69" s="121"/>
      <c r="X69" s="165" t="s">
        <v>270</v>
      </c>
      <c r="Y69" s="129" t="str">
        <f t="shared" si="8"/>
        <v>*</v>
      </c>
      <c r="Z69" s="118"/>
      <c r="AA69" s="121"/>
    </row>
    <row r="70" spans="1:27" x14ac:dyDescent="0.25">
      <c r="A70" s="34"/>
      <c r="B70" s="118">
        <v>100</v>
      </c>
      <c r="C70" s="118">
        <v>4000</v>
      </c>
      <c r="D70" s="118">
        <v>7100</v>
      </c>
      <c r="E70" s="118">
        <v>510</v>
      </c>
      <c r="F70" s="109" t="s">
        <v>273</v>
      </c>
      <c r="G70" s="121">
        <v>0</v>
      </c>
      <c r="I70" s="121">
        <v>22.973333333333336</v>
      </c>
      <c r="J70" s="112"/>
      <c r="K70" s="121">
        <v>0</v>
      </c>
      <c r="M70" s="121">
        <v>0</v>
      </c>
      <c r="N70" s="112"/>
      <c r="O70" s="121">
        <f t="shared" si="4"/>
        <v>22.973333333333336</v>
      </c>
      <c r="P70" s="121"/>
      <c r="Q70" s="121">
        <f t="shared" si="0"/>
        <v>23.203066666666668</v>
      </c>
      <c r="R70" s="121">
        <f t="shared" ref="R70:R71" si="112">+I70*Inf</f>
        <v>23.203066666666668</v>
      </c>
      <c r="S70" s="121">
        <f t="shared" ref="S70:S71" si="113">+M70*Inf</f>
        <v>0</v>
      </c>
      <c r="T70" s="58">
        <f t="shared" ref="T70:T71" si="114">Q70-R70-S70</f>
        <v>0</v>
      </c>
      <c r="U70" s="59">
        <f t="shared" ref="U70:U71" si="115">+R70/Q70</f>
        <v>1</v>
      </c>
      <c r="V70" s="59">
        <f t="shared" ref="V70:V71" si="116">+S70/Q70</f>
        <v>0</v>
      </c>
      <c r="W70" s="121"/>
      <c r="X70" s="165" t="s">
        <v>270</v>
      </c>
      <c r="Y70" s="129" t="str">
        <f t="shared" si="8"/>
        <v>*</v>
      </c>
      <c r="Z70" s="118"/>
      <c r="AA70" s="121"/>
    </row>
    <row r="71" spans="1:27" x14ac:dyDescent="0.25">
      <c r="A71" s="34"/>
      <c r="B71" s="118">
        <v>100</v>
      </c>
      <c r="C71" s="118">
        <v>4000</v>
      </c>
      <c r="D71" s="118">
        <v>7100</v>
      </c>
      <c r="E71" s="118">
        <v>730</v>
      </c>
      <c r="F71" s="109" t="s">
        <v>256</v>
      </c>
      <c r="G71" s="121">
        <v>0</v>
      </c>
      <c r="I71" s="121">
        <v>2136.5066666666671</v>
      </c>
      <c r="J71" s="112"/>
      <c r="K71" s="121">
        <v>0</v>
      </c>
      <c r="M71" s="121">
        <v>1807.6666666666667</v>
      </c>
      <c r="N71" s="112"/>
      <c r="O71" s="121">
        <f t="shared" si="4"/>
        <v>3944.1733333333341</v>
      </c>
      <c r="P71" s="121"/>
      <c r="Q71" s="121">
        <f t="shared" si="0"/>
        <v>3983.6150666666672</v>
      </c>
      <c r="R71" s="121">
        <f t="shared" si="112"/>
        <v>2157.8717333333339</v>
      </c>
      <c r="S71" s="121">
        <f t="shared" si="113"/>
        <v>1825.7433333333333</v>
      </c>
      <c r="T71" s="58">
        <f t="shared" si="114"/>
        <v>0</v>
      </c>
      <c r="U71" s="59">
        <f t="shared" si="115"/>
        <v>0.54168680889616083</v>
      </c>
      <c r="V71" s="59">
        <f t="shared" si="116"/>
        <v>0.45831319110383917</v>
      </c>
      <c r="W71" s="121"/>
      <c r="X71" s="165" t="s">
        <v>270</v>
      </c>
      <c r="Y71" s="129" t="str">
        <f t="shared" si="8"/>
        <v>*</v>
      </c>
      <c r="Z71" s="118"/>
      <c r="AA71" s="121"/>
    </row>
    <row r="72" spans="1:27" s="129" customFormat="1" x14ac:dyDescent="0.25">
      <c r="A72" s="34"/>
      <c r="B72" s="118">
        <v>100</v>
      </c>
      <c r="C72" s="118">
        <v>4000</v>
      </c>
      <c r="D72" s="118">
        <v>7100</v>
      </c>
      <c r="E72" s="118">
        <v>790</v>
      </c>
      <c r="F72" s="109" t="s">
        <v>274</v>
      </c>
      <c r="G72" s="121">
        <v>0</v>
      </c>
      <c r="H72" s="110"/>
      <c r="I72" s="121">
        <v>88920.432237570043</v>
      </c>
      <c r="J72" s="112"/>
      <c r="K72" s="121">
        <v>0</v>
      </c>
      <c r="L72" s="110"/>
      <c r="M72" s="121">
        <v>68181.45</v>
      </c>
      <c r="N72" s="112"/>
      <c r="O72" s="121">
        <f t="shared" si="4"/>
        <v>157101.88223757004</v>
      </c>
      <c r="P72" s="121"/>
      <c r="Q72" s="121">
        <f t="shared" si="0"/>
        <v>172792.52500000002</v>
      </c>
      <c r="R72" s="121">
        <f>+'Revenue Input'!O70</f>
        <v>93320.625</v>
      </c>
      <c r="S72" s="121">
        <f>+'Revenue Input'!O80</f>
        <v>79471.900000000009</v>
      </c>
      <c r="T72" s="58">
        <f t="shared" si="109"/>
        <v>0</v>
      </c>
      <c r="U72" s="59">
        <f t="shared" si="110"/>
        <v>0.54007327573921371</v>
      </c>
      <c r="V72" s="59">
        <f t="shared" si="111"/>
        <v>0.45992672426078618</v>
      </c>
      <c r="W72" s="121"/>
      <c r="X72" s="165" t="s">
        <v>275</v>
      </c>
      <c r="Y72" s="129" t="str">
        <f t="shared" si="8"/>
        <v>*</v>
      </c>
      <c r="Z72" s="118"/>
      <c r="AA72" s="121"/>
    </row>
    <row r="73" spans="1:27" s="1" customFormat="1" hidden="1" x14ac:dyDescent="0.25">
      <c r="A73" s="34"/>
      <c r="B73" s="118">
        <v>100</v>
      </c>
      <c r="C73" s="118">
        <v>4000</v>
      </c>
      <c r="D73" s="118">
        <v>7100</v>
      </c>
      <c r="E73" s="118">
        <v>792</v>
      </c>
      <c r="F73" s="109" t="s">
        <v>276</v>
      </c>
      <c r="G73" s="121">
        <v>0</v>
      </c>
      <c r="H73" s="110"/>
      <c r="I73" s="121">
        <v>0</v>
      </c>
      <c r="J73" s="112"/>
      <c r="K73" s="121">
        <v>0</v>
      </c>
      <c r="L73" s="110"/>
      <c r="M73" s="121">
        <v>0</v>
      </c>
      <c r="N73" s="112"/>
      <c r="O73" s="121">
        <f t="shared" si="4"/>
        <v>0</v>
      </c>
      <c r="P73" s="121"/>
      <c r="Q73" s="121">
        <f t="shared" si="0"/>
        <v>0</v>
      </c>
      <c r="R73" s="121">
        <f t="shared" ref="R73:R76" si="117">+I73*Inf</f>
        <v>0</v>
      </c>
      <c r="S73" s="121">
        <f t="shared" ref="S73:S76" si="118">+M73*Inf</f>
        <v>0</v>
      </c>
      <c r="T73" s="58">
        <f t="shared" ref="T73:T76" si="119">Q73-R73-S73</f>
        <v>0</v>
      </c>
      <c r="U73" s="59" t="e">
        <f t="shared" ref="U73:U76" si="120">+R73/Q73</f>
        <v>#DIV/0!</v>
      </c>
      <c r="V73" s="59" t="e">
        <f t="shared" ref="V73:V76" si="121">+S73/Q73</f>
        <v>#DIV/0!</v>
      </c>
      <c r="W73" s="121"/>
      <c r="X73" s="165" t="s">
        <v>270</v>
      </c>
      <c r="Y73" s="129" t="str">
        <f t="shared" si="8"/>
        <v/>
      </c>
      <c r="Z73" s="118"/>
      <c r="AA73" s="121"/>
    </row>
    <row r="74" spans="1:27" x14ac:dyDescent="0.25">
      <c r="A74" s="34"/>
      <c r="B74" s="118">
        <v>100</v>
      </c>
      <c r="C74" s="118">
        <v>4000</v>
      </c>
      <c r="D74" s="118">
        <v>7100</v>
      </c>
      <c r="E74" s="118">
        <v>795</v>
      </c>
      <c r="F74" s="109" t="s">
        <v>277</v>
      </c>
      <c r="G74" s="121">
        <v>0</v>
      </c>
      <c r="I74" s="121">
        <v>125.90666666666668</v>
      </c>
      <c r="J74" s="112"/>
      <c r="K74" s="121">
        <v>0</v>
      </c>
      <c r="M74" s="121">
        <v>319.42666666666668</v>
      </c>
      <c r="N74" s="112"/>
      <c r="O74" s="121">
        <f t="shared" si="4"/>
        <v>445.33333333333337</v>
      </c>
      <c r="P74" s="121"/>
      <c r="Q74" s="121">
        <f t="shared" ref="Q74:Q77" si="122">SUBTOTAL(9,R74:S74)</f>
        <v>449.78666666666675</v>
      </c>
      <c r="R74" s="121">
        <f t="shared" si="117"/>
        <v>127.16573333333335</v>
      </c>
      <c r="S74" s="121">
        <f t="shared" si="118"/>
        <v>322.62093333333337</v>
      </c>
      <c r="T74" s="58">
        <f t="shared" si="119"/>
        <v>0</v>
      </c>
      <c r="U74" s="59">
        <f t="shared" si="120"/>
        <v>0.28272455089820359</v>
      </c>
      <c r="V74" s="59">
        <f t="shared" si="121"/>
        <v>0.7172754491017963</v>
      </c>
      <c r="W74" s="121"/>
      <c r="X74" s="165" t="s">
        <v>270</v>
      </c>
      <c r="Y74" s="129" t="str">
        <f t="shared" si="8"/>
        <v>*</v>
      </c>
      <c r="Z74" s="118"/>
      <c r="AA74" s="121"/>
    </row>
    <row r="75" spans="1:27" hidden="1" x14ac:dyDescent="0.25">
      <c r="A75" s="34"/>
      <c r="B75" s="118">
        <v>100</v>
      </c>
      <c r="C75" s="118">
        <v>4000</v>
      </c>
      <c r="D75" s="118">
        <v>7300</v>
      </c>
      <c r="E75" s="118">
        <v>310</v>
      </c>
      <c r="F75" s="109" t="s">
        <v>278</v>
      </c>
      <c r="G75" s="121">
        <v>137.49</v>
      </c>
      <c r="I75" s="121">
        <v>0</v>
      </c>
      <c r="J75" s="112"/>
      <c r="K75" s="121">
        <v>0</v>
      </c>
      <c r="L75" s="111"/>
      <c r="M75" s="121">
        <v>0</v>
      </c>
      <c r="N75" s="112"/>
      <c r="O75" s="121">
        <f t="shared" ref="O75:O137" si="123">I75+M75</f>
        <v>0</v>
      </c>
      <c r="P75" s="121"/>
      <c r="Q75" s="121">
        <f t="shared" si="122"/>
        <v>0</v>
      </c>
      <c r="R75" s="121">
        <f t="shared" si="117"/>
        <v>0</v>
      </c>
      <c r="S75" s="121">
        <f t="shared" si="118"/>
        <v>0</v>
      </c>
      <c r="T75" s="58">
        <f t="shared" si="119"/>
        <v>0</v>
      </c>
      <c r="U75" s="59" t="e">
        <f t="shared" si="120"/>
        <v>#DIV/0!</v>
      </c>
      <c r="V75" s="59" t="e">
        <f t="shared" si="121"/>
        <v>#DIV/0!</v>
      </c>
      <c r="W75" s="121"/>
      <c r="X75" s="165" t="s">
        <v>270</v>
      </c>
      <c r="Y75" s="129" t="str">
        <f t="shared" si="8"/>
        <v/>
      </c>
      <c r="Z75" s="118"/>
      <c r="AA75" s="121"/>
    </row>
    <row r="76" spans="1:27" x14ac:dyDescent="0.25">
      <c r="A76" s="34"/>
      <c r="B76" s="118">
        <v>100</v>
      </c>
      <c r="C76" s="118">
        <v>4000</v>
      </c>
      <c r="D76" s="118">
        <v>7300</v>
      </c>
      <c r="E76" s="118">
        <v>330</v>
      </c>
      <c r="F76" s="109" t="s">
        <v>279</v>
      </c>
      <c r="G76" s="121">
        <v>0</v>
      </c>
      <c r="I76" s="121">
        <v>2672.6933333333336</v>
      </c>
      <c r="J76" s="112"/>
      <c r="K76" s="121">
        <v>0</v>
      </c>
      <c r="L76" s="111"/>
      <c r="M76" s="121">
        <v>2469.4</v>
      </c>
      <c r="N76" s="112"/>
      <c r="O76" s="121">
        <f t="shared" si="123"/>
        <v>5142.0933333333342</v>
      </c>
      <c r="P76" s="121"/>
      <c r="Q76" s="121">
        <f t="shared" si="122"/>
        <v>5193.514266666667</v>
      </c>
      <c r="R76" s="121">
        <f t="shared" si="117"/>
        <v>2699.420266666667</v>
      </c>
      <c r="S76" s="121">
        <f t="shared" si="118"/>
        <v>2494.0940000000001</v>
      </c>
      <c r="T76" s="58">
        <f t="shared" si="119"/>
        <v>0</v>
      </c>
      <c r="U76" s="59">
        <f t="shared" si="120"/>
        <v>0.51976756547916936</v>
      </c>
      <c r="V76" s="59">
        <f t="shared" si="121"/>
        <v>0.48023243452083064</v>
      </c>
      <c r="W76" s="121"/>
      <c r="X76" s="165" t="s">
        <v>270</v>
      </c>
      <c r="Y76" s="129" t="str">
        <f t="shared" si="8"/>
        <v>*</v>
      </c>
      <c r="Z76" s="118"/>
      <c r="AA76" s="121"/>
    </row>
    <row r="77" spans="1:27" hidden="1" x14ac:dyDescent="0.25">
      <c r="A77" s="34"/>
      <c r="B77" s="118">
        <v>100</v>
      </c>
      <c r="C77" s="118">
        <v>4000</v>
      </c>
      <c r="D77" s="118">
        <v>7300</v>
      </c>
      <c r="E77" s="118">
        <v>365</v>
      </c>
      <c r="F77" s="109" t="s">
        <v>241</v>
      </c>
      <c r="G77" s="121">
        <v>0</v>
      </c>
      <c r="I77" s="121">
        <v>0</v>
      </c>
      <c r="J77" s="112"/>
      <c r="K77" s="121">
        <v>0</v>
      </c>
      <c r="L77" s="111"/>
      <c r="M77" s="121">
        <v>0</v>
      </c>
      <c r="N77" s="112"/>
      <c r="O77" s="121">
        <f t="shared" si="123"/>
        <v>0</v>
      </c>
      <c r="P77" s="121"/>
      <c r="Q77" s="121">
        <f t="shared" si="122"/>
        <v>0</v>
      </c>
      <c r="R77" s="121">
        <f t="shared" ref="R77:R78" si="124">+I77*Inf</f>
        <v>0</v>
      </c>
      <c r="S77" s="121">
        <f t="shared" ref="S77:S78" si="125">+M77*Inf</f>
        <v>0</v>
      </c>
      <c r="T77" s="58">
        <f t="shared" ref="T77:T79" si="126">Q77-R77-S77</f>
        <v>0</v>
      </c>
      <c r="U77" s="59" t="e">
        <f t="shared" ref="U77:U79" si="127">+R77/Q77</f>
        <v>#DIV/0!</v>
      </c>
      <c r="V77" s="59" t="e">
        <f t="shared" ref="V77:V79" si="128">+S77/Q77</f>
        <v>#DIV/0!</v>
      </c>
      <c r="W77" s="121"/>
      <c r="X77" s="165" t="s">
        <v>270</v>
      </c>
      <c r="Y77" s="129" t="str">
        <f t="shared" si="8"/>
        <v/>
      </c>
      <c r="Z77" s="118"/>
      <c r="AA77" s="121"/>
    </row>
    <row r="78" spans="1:27" x14ac:dyDescent="0.25">
      <c r="A78" s="34"/>
      <c r="B78" s="118">
        <v>100</v>
      </c>
      <c r="C78" s="118">
        <v>4000</v>
      </c>
      <c r="D78" s="118">
        <v>7300</v>
      </c>
      <c r="E78" s="118">
        <v>370</v>
      </c>
      <c r="F78" s="109" t="s">
        <v>280</v>
      </c>
      <c r="G78" s="121">
        <v>0</v>
      </c>
      <c r="I78" s="121">
        <v>238.08</v>
      </c>
      <c r="J78" s="112"/>
      <c r="K78" s="121">
        <v>0</v>
      </c>
      <c r="L78" s="111"/>
      <c r="M78" s="121">
        <v>410.50666666666672</v>
      </c>
      <c r="N78" s="112"/>
      <c r="O78" s="121">
        <f t="shared" si="123"/>
        <v>648.5866666666667</v>
      </c>
      <c r="P78" s="121"/>
      <c r="Q78" s="121">
        <f t="shared" ref="Q78:Q79" si="129">SUBTOTAL(9,R78:S78)</f>
        <v>655.07253333333347</v>
      </c>
      <c r="R78" s="121">
        <f t="shared" si="124"/>
        <v>240.46080000000001</v>
      </c>
      <c r="S78" s="121">
        <f t="shared" si="125"/>
        <v>414.6117333333334</v>
      </c>
      <c r="T78" s="58">
        <f t="shared" si="126"/>
        <v>0</v>
      </c>
      <c r="U78" s="59">
        <f t="shared" si="127"/>
        <v>0.36707507606282369</v>
      </c>
      <c r="V78" s="59">
        <f t="shared" si="128"/>
        <v>0.63292492393717614</v>
      </c>
      <c r="W78" s="121"/>
      <c r="X78" s="165" t="s">
        <v>270</v>
      </c>
      <c r="Y78" s="129" t="str">
        <f t="shared" si="8"/>
        <v>*</v>
      </c>
      <c r="Z78" s="118"/>
      <c r="AA78" s="121"/>
    </row>
    <row r="79" spans="1:27" hidden="1" x14ac:dyDescent="0.25">
      <c r="A79" s="34"/>
      <c r="B79" s="118">
        <v>495</v>
      </c>
      <c r="C79" s="118">
        <v>4000</v>
      </c>
      <c r="D79" s="118">
        <v>7300</v>
      </c>
      <c r="E79" s="118">
        <v>370</v>
      </c>
      <c r="F79" s="109" t="s">
        <v>280</v>
      </c>
      <c r="G79" s="121"/>
      <c r="I79" s="121">
        <v>0</v>
      </c>
      <c r="J79" s="112"/>
      <c r="K79" s="121"/>
      <c r="L79" s="111"/>
      <c r="M79" s="121">
        <v>0</v>
      </c>
      <c r="N79" s="112"/>
      <c r="O79" s="121">
        <f t="shared" si="123"/>
        <v>0</v>
      </c>
      <c r="P79" s="121"/>
      <c r="Q79" s="121">
        <f t="shared" si="129"/>
        <v>0</v>
      </c>
      <c r="R79" s="121">
        <v>0</v>
      </c>
      <c r="S79" s="121">
        <v>0</v>
      </c>
      <c r="T79" s="121">
        <f t="shared" si="126"/>
        <v>0</v>
      </c>
      <c r="U79" s="167" t="e">
        <f t="shared" si="127"/>
        <v>#DIV/0!</v>
      </c>
      <c r="V79" s="167" t="e">
        <f t="shared" si="128"/>
        <v>#DIV/0!</v>
      </c>
      <c r="W79" s="121"/>
      <c r="X79" s="165" t="s">
        <v>339</v>
      </c>
      <c r="Y79" s="129" t="str">
        <f t="shared" si="8"/>
        <v/>
      </c>
      <c r="Z79" s="118"/>
      <c r="AA79" s="121"/>
    </row>
    <row r="80" spans="1:27" x14ac:dyDescent="0.25">
      <c r="A80" s="34"/>
      <c r="B80" s="118">
        <v>100</v>
      </c>
      <c r="C80" s="118">
        <v>4000</v>
      </c>
      <c r="D80" s="118">
        <v>7300</v>
      </c>
      <c r="E80" s="118">
        <v>390</v>
      </c>
      <c r="F80" s="109" t="s">
        <v>281</v>
      </c>
      <c r="G80" s="121">
        <v>0</v>
      </c>
      <c r="I80" s="121">
        <v>4639.9733333333334</v>
      </c>
      <c r="J80" s="112"/>
      <c r="K80" s="121">
        <v>0</v>
      </c>
      <c r="M80" s="121">
        <v>7446.4079999999994</v>
      </c>
      <c r="N80" s="112"/>
      <c r="O80" s="121">
        <f t="shared" si="123"/>
        <v>12086.381333333333</v>
      </c>
      <c r="P80" s="121"/>
      <c r="Q80" s="121">
        <f t="shared" ref="Q80:Q83" si="130">SUBTOTAL(9,R80:S80)</f>
        <v>12207.245146666666</v>
      </c>
      <c r="R80" s="121">
        <f t="shared" ref="R80:R83" si="131">+I80*Inf</f>
        <v>4686.373066666667</v>
      </c>
      <c r="S80" s="121">
        <f t="shared" ref="S80:S83" si="132">+M80*Inf</f>
        <v>7520.8720799999992</v>
      </c>
      <c r="T80" s="121">
        <f t="shared" ref="T80:T83" si="133">Q80-R80-S80</f>
        <v>0</v>
      </c>
      <c r="U80" s="167">
        <f t="shared" ref="U80:U83" si="134">+R80/Q80</f>
        <v>0.38390095474951097</v>
      </c>
      <c r="V80" s="167">
        <f t="shared" ref="V80:V83" si="135">+S80/Q80</f>
        <v>0.61609904525048909</v>
      </c>
      <c r="W80" s="121"/>
      <c r="X80" s="165" t="s">
        <v>270</v>
      </c>
      <c r="Y80" s="129" t="str">
        <f t="shared" si="8"/>
        <v>*</v>
      </c>
      <c r="Z80" s="118"/>
      <c r="AA80" s="121"/>
    </row>
    <row r="81" spans="1:27" s="1" customFormat="1" x14ac:dyDescent="0.25">
      <c r="A81" s="34"/>
      <c r="B81" s="118">
        <v>100</v>
      </c>
      <c r="C81" s="118">
        <v>4000</v>
      </c>
      <c r="D81" s="118">
        <v>7300</v>
      </c>
      <c r="E81" s="118">
        <v>510</v>
      </c>
      <c r="F81" s="109" t="s">
        <v>282</v>
      </c>
      <c r="G81" s="121">
        <v>0</v>
      </c>
      <c r="H81" s="110"/>
      <c r="I81" s="121">
        <v>5564.1733333333332</v>
      </c>
      <c r="J81" s="112"/>
      <c r="K81" s="121">
        <v>0</v>
      </c>
      <c r="L81" s="110"/>
      <c r="M81" s="121">
        <v>3028.7733333333331</v>
      </c>
      <c r="N81" s="112"/>
      <c r="O81" s="121">
        <f t="shared" si="123"/>
        <v>8592.9466666666667</v>
      </c>
      <c r="P81" s="121"/>
      <c r="Q81" s="121">
        <f t="shared" si="130"/>
        <v>8678.8761333333332</v>
      </c>
      <c r="R81" s="121">
        <f t="shared" si="131"/>
        <v>5619.815066666667</v>
      </c>
      <c r="S81" s="121">
        <f t="shared" si="132"/>
        <v>3059.0610666666666</v>
      </c>
      <c r="T81" s="58">
        <f t="shared" si="133"/>
        <v>0</v>
      </c>
      <c r="U81" s="59">
        <f t="shared" si="134"/>
        <v>0.64752797255423444</v>
      </c>
      <c r="V81" s="59">
        <f t="shared" si="135"/>
        <v>0.35247202744576561</v>
      </c>
      <c r="W81" s="121"/>
      <c r="X81" s="165" t="s">
        <v>270</v>
      </c>
      <c r="Y81" s="129" t="str">
        <f t="shared" si="8"/>
        <v>*</v>
      </c>
      <c r="Z81" s="118"/>
      <c r="AA81" s="121"/>
    </row>
    <row r="82" spans="1:27" s="129" customFormat="1" hidden="1" x14ac:dyDescent="0.25">
      <c r="A82" s="34"/>
      <c r="B82" s="118">
        <v>493</v>
      </c>
      <c r="C82" s="118">
        <v>4000</v>
      </c>
      <c r="D82" s="118">
        <v>7300</v>
      </c>
      <c r="E82" s="118">
        <v>510</v>
      </c>
      <c r="F82" s="109" t="s">
        <v>282</v>
      </c>
      <c r="G82" s="121">
        <v>0</v>
      </c>
      <c r="H82" s="110"/>
      <c r="I82" s="121">
        <v>0</v>
      </c>
      <c r="J82" s="112"/>
      <c r="K82" s="121">
        <v>0</v>
      </c>
      <c r="L82" s="110"/>
      <c r="M82" s="121">
        <v>0</v>
      </c>
      <c r="N82" s="112"/>
      <c r="O82" s="121">
        <f t="shared" ref="O82" si="136">I82+M82</f>
        <v>0</v>
      </c>
      <c r="P82" s="121"/>
      <c r="Q82" s="121">
        <f t="shared" ref="Q82" si="137">SUBTOTAL(9,R82:S82)</f>
        <v>0</v>
      </c>
      <c r="R82" s="121">
        <v>0</v>
      </c>
      <c r="S82" s="121">
        <v>0</v>
      </c>
      <c r="T82" s="58">
        <f t="shared" ref="T82" si="138">Q82-R82-S82</f>
        <v>0</v>
      </c>
      <c r="U82" s="59" t="e">
        <f t="shared" ref="U82" si="139">+R82/Q82</f>
        <v>#DIV/0!</v>
      </c>
      <c r="V82" s="59" t="e">
        <f t="shared" ref="V82" si="140">+S82/Q82</f>
        <v>#DIV/0!</v>
      </c>
      <c r="W82" s="121"/>
      <c r="X82" s="165" t="s">
        <v>338</v>
      </c>
      <c r="Y82" s="129" t="str">
        <f t="shared" ref="Y82" si="141">IF((Q82+O82)&gt;0.49,"*","")</f>
        <v/>
      </c>
      <c r="Z82" s="118"/>
      <c r="AA82" s="121"/>
    </row>
    <row r="83" spans="1:27" s="129" customFormat="1" hidden="1" x14ac:dyDescent="0.25">
      <c r="A83" s="34"/>
      <c r="B83" s="118">
        <v>100</v>
      </c>
      <c r="C83" s="118">
        <v>4000</v>
      </c>
      <c r="D83" s="118">
        <v>7300</v>
      </c>
      <c r="E83" s="118">
        <v>640</v>
      </c>
      <c r="F83" s="109" t="s">
        <v>260</v>
      </c>
      <c r="G83" s="121">
        <v>0</v>
      </c>
      <c r="H83" s="110"/>
      <c r="I83" s="121">
        <v>0</v>
      </c>
      <c r="J83" s="112"/>
      <c r="K83" s="121">
        <v>0</v>
      </c>
      <c r="L83" s="110"/>
      <c r="M83" s="121">
        <v>0</v>
      </c>
      <c r="N83" s="112"/>
      <c r="O83" s="121">
        <f t="shared" si="123"/>
        <v>0</v>
      </c>
      <c r="P83" s="121"/>
      <c r="Q83" s="121">
        <f t="shared" si="130"/>
        <v>0</v>
      </c>
      <c r="R83" s="121">
        <f t="shared" si="131"/>
        <v>0</v>
      </c>
      <c r="S83" s="121">
        <f t="shared" si="132"/>
        <v>0</v>
      </c>
      <c r="T83" s="58">
        <f t="shared" si="133"/>
        <v>0</v>
      </c>
      <c r="U83" s="59" t="e">
        <f t="shared" si="134"/>
        <v>#DIV/0!</v>
      </c>
      <c r="V83" s="59" t="e">
        <f t="shared" si="135"/>
        <v>#DIV/0!</v>
      </c>
      <c r="W83" s="121"/>
      <c r="X83" s="165" t="s">
        <v>270</v>
      </c>
      <c r="Y83" s="129" t="str">
        <f t="shared" si="8"/>
        <v/>
      </c>
      <c r="Z83" s="118"/>
      <c r="AA83" s="121"/>
    </row>
    <row r="84" spans="1:27" s="1" customFormat="1" hidden="1" x14ac:dyDescent="0.25">
      <c r="A84" s="34"/>
      <c r="B84" s="118">
        <v>495</v>
      </c>
      <c r="C84" s="118">
        <v>4000</v>
      </c>
      <c r="D84" s="118">
        <v>7300</v>
      </c>
      <c r="E84" s="118">
        <v>640</v>
      </c>
      <c r="F84" s="109" t="s">
        <v>283</v>
      </c>
      <c r="G84" s="121">
        <v>0</v>
      </c>
      <c r="H84" s="110"/>
      <c r="I84" s="121">
        <v>0</v>
      </c>
      <c r="J84" s="112"/>
      <c r="K84" s="121">
        <v>0</v>
      </c>
      <c r="L84" s="110"/>
      <c r="M84" s="121">
        <v>0</v>
      </c>
      <c r="N84" s="112"/>
      <c r="O84" s="121">
        <f t="shared" si="123"/>
        <v>0</v>
      </c>
      <c r="P84" s="121"/>
      <c r="Q84" s="121">
        <f t="shared" ref="Q84:Q86" si="142">SUBTOTAL(9,R84:S84)</f>
        <v>0</v>
      </c>
      <c r="R84" s="121">
        <v>0</v>
      </c>
      <c r="S84" s="121">
        <v>0</v>
      </c>
      <c r="T84" s="121">
        <f t="shared" ref="T84:T86" si="143">Q84-R84-S84</f>
        <v>0</v>
      </c>
      <c r="U84" s="167" t="e">
        <f t="shared" ref="U84:U86" si="144">+R84/Q84</f>
        <v>#DIV/0!</v>
      </c>
      <c r="V84" s="167" t="e">
        <f t="shared" ref="V84:V86" si="145">+S84/Q84</f>
        <v>#DIV/0!</v>
      </c>
      <c r="W84" s="121"/>
      <c r="X84" s="165" t="s">
        <v>339</v>
      </c>
      <c r="Y84" s="129" t="str">
        <f t="shared" si="8"/>
        <v/>
      </c>
      <c r="Z84" s="118"/>
      <c r="AA84" s="121"/>
    </row>
    <row r="85" spans="1:27" s="1" customFormat="1" x14ac:dyDescent="0.25">
      <c r="A85" s="34"/>
      <c r="B85" s="118">
        <v>100</v>
      </c>
      <c r="C85" s="118">
        <v>4000</v>
      </c>
      <c r="D85" s="118">
        <v>7300</v>
      </c>
      <c r="E85" s="118">
        <v>641</v>
      </c>
      <c r="F85" s="109" t="s">
        <v>284</v>
      </c>
      <c r="G85" s="121">
        <v>0</v>
      </c>
      <c r="H85" s="110"/>
      <c r="I85" s="121">
        <v>0</v>
      </c>
      <c r="J85" s="112"/>
      <c r="K85" s="121">
        <v>0</v>
      </c>
      <c r="L85" s="110"/>
      <c r="M85" s="121">
        <v>0</v>
      </c>
      <c r="N85" s="112"/>
      <c r="O85" s="121">
        <f t="shared" si="123"/>
        <v>0</v>
      </c>
      <c r="P85" s="121"/>
      <c r="Q85" s="121">
        <f t="shared" si="142"/>
        <v>2000</v>
      </c>
      <c r="R85" s="121">
        <v>1000</v>
      </c>
      <c r="S85" s="121">
        <v>1000</v>
      </c>
      <c r="T85" s="121">
        <f t="shared" si="143"/>
        <v>0</v>
      </c>
      <c r="U85" s="167">
        <f t="shared" si="144"/>
        <v>0.5</v>
      </c>
      <c r="V85" s="167">
        <f t="shared" si="145"/>
        <v>0.5</v>
      </c>
      <c r="W85" s="121"/>
      <c r="X85" s="165" t="s">
        <v>248</v>
      </c>
      <c r="Y85" s="129" t="str">
        <f t="shared" si="8"/>
        <v>*</v>
      </c>
      <c r="Z85" s="118"/>
      <c r="AA85" s="121"/>
    </row>
    <row r="86" spans="1:27" x14ac:dyDescent="0.25">
      <c r="A86" s="34"/>
      <c r="B86" s="118">
        <v>100</v>
      </c>
      <c r="C86" s="118">
        <v>4000</v>
      </c>
      <c r="D86" s="118">
        <v>7300</v>
      </c>
      <c r="E86" s="118">
        <v>642</v>
      </c>
      <c r="F86" s="109" t="s">
        <v>252</v>
      </c>
      <c r="G86" s="121">
        <v>0</v>
      </c>
      <c r="I86" s="121">
        <v>0</v>
      </c>
      <c r="J86" s="112"/>
      <c r="K86" s="121">
        <v>0</v>
      </c>
      <c r="L86" s="111"/>
      <c r="M86" s="121">
        <v>0</v>
      </c>
      <c r="N86" s="112"/>
      <c r="O86" s="121">
        <f t="shared" si="123"/>
        <v>0</v>
      </c>
      <c r="P86" s="121"/>
      <c r="Q86" s="121">
        <f t="shared" si="142"/>
        <v>2000</v>
      </c>
      <c r="R86" s="121">
        <v>1000</v>
      </c>
      <c r="S86" s="121">
        <v>1000</v>
      </c>
      <c r="T86" s="121">
        <f t="shared" si="143"/>
        <v>0</v>
      </c>
      <c r="U86" s="167">
        <f t="shared" si="144"/>
        <v>0.5</v>
      </c>
      <c r="V86" s="167">
        <f t="shared" si="145"/>
        <v>0.5</v>
      </c>
      <c r="W86" s="121"/>
      <c r="X86" s="165" t="s">
        <v>248</v>
      </c>
      <c r="Y86" s="129" t="str">
        <f t="shared" si="8"/>
        <v>*</v>
      </c>
      <c r="Z86" s="118"/>
      <c r="AA86" s="121"/>
    </row>
    <row r="87" spans="1:27" hidden="1" x14ac:dyDescent="0.25">
      <c r="A87" s="34"/>
      <c r="B87" s="118">
        <v>495</v>
      </c>
      <c r="C87" s="118">
        <v>4000</v>
      </c>
      <c r="D87" s="118">
        <v>7301</v>
      </c>
      <c r="E87" s="118">
        <v>642</v>
      </c>
      <c r="F87" s="109" t="s">
        <v>252</v>
      </c>
      <c r="G87" s="121"/>
      <c r="I87" s="121">
        <v>0</v>
      </c>
      <c r="J87" s="112"/>
      <c r="K87" s="121"/>
      <c r="M87" s="121">
        <v>0</v>
      </c>
      <c r="N87" s="112"/>
      <c r="O87" s="121">
        <f t="shared" si="123"/>
        <v>0</v>
      </c>
      <c r="P87" s="121"/>
      <c r="Q87" s="121">
        <f t="shared" ref="Q87:Q143" si="146">SUBTOTAL(9,R87:S87)</f>
        <v>0</v>
      </c>
      <c r="R87" s="121">
        <v>0</v>
      </c>
      <c r="S87" s="121">
        <v>0</v>
      </c>
      <c r="T87" s="121">
        <f t="shared" ref="T87:T88" si="147">Q87-R87-S87</f>
        <v>0</v>
      </c>
      <c r="U87" s="167" t="e">
        <f t="shared" ref="U87:U88" si="148">+R87/Q87</f>
        <v>#DIV/0!</v>
      </c>
      <c r="V87" s="167" t="e">
        <f t="shared" ref="V87:V88" si="149">+S87/Q87</f>
        <v>#DIV/0!</v>
      </c>
      <c r="W87" s="121"/>
      <c r="X87" s="165" t="s">
        <v>339</v>
      </c>
      <c r="Y87" s="129" t="str">
        <f t="shared" ref="Y87:Y143" si="150">IF((Q87+O87)&gt;0.49,"*","")</f>
        <v/>
      </c>
      <c r="Z87" s="118"/>
      <c r="AA87" s="121"/>
    </row>
    <row r="88" spans="1:27" hidden="1" x14ac:dyDescent="0.25">
      <c r="A88" s="34"/>
      <c r="B88" s="118">
        <v>100</v>
      </c>
      <c r="C88" s="118">
        <v>4000</v>
      </c>
      <c r="D88" s="118">
        <v>7300</v>
      </c>
      <c r="E88" s="118">
        <v>643</v>
      </c>
      <c r="F88" s="109" t="s">
        <v>285</v>
      </c>
      <c r="G88" s="121">
        <v>0</v>
      </c>
      <c r="I88" s="121">
        <v>0</v>
      </c>
      <c r="J88" s="112"/>
      <c r="K88" s="121">
        <v>0</v>
      </c>
      <c r="M88" s="121">
        <v>0</v>
      </c>
      <c r="N88" s="112"/>
      <c r="O88" s="121">
        <f t="shared" si="123"/>
        <v>0</v>
      </c>
      <c r="P88" s="121"/>
      <c r="Q88" s="121">
        <f t="shared" si="146"/>
        <v>0</v>
      </c>
      <c r="R88" s="121">
        <f t="shared" ref="R88" si="151">+I88*Inf</f>
        <v>0</v>
      </c>
      <c r="S88" s="121">
        <f t="shared" ref="S88" si="152">+M88*Inf</f>
        <v>0</v>
      </c>
      <c r="T88" s="58">
        <f t="shared" si="147"/>
        <v>0</v>
      </c>
      <c r="U88" s="59" t="e">
        <f t="shared" si="148"/>
        <v>#DIV/0!</v>
      </c>
      <c r="V88" s="59" t="e">
        <f t="shared" si="149"/>
        <v>#DIV/0!</v>
      </c>
      <c r="W88" s="121"/>
      <c r="X88" s="165" t="s">
        <v>270</v>
      </c>
      <c r="Y88" s="129" t="str">
        <f t="shared" si="150"/>
        <v/>
      </c>
      <c r="Z88" s="118"/>
      <c r="AA88" s="121"/>
    </row>
    <row r="89" spans="1:27" hidden="1" x14ac:dyDescent="0.25">
      <c r="A89" s="34"/>
      <c r="B89" s="118">
        <v>100</v>
      </c>
      <c r="C89" s="118">
        <v>4000</v>
      </c>
      <c r="D89" s="118">
        <v>7300</v>
      </c>
      <c r="E89" s="118">
        <v>644</v>
      </c>
      <c r="F89" s="109" t="s">
        <v>254</v>
      </c>
      <c r="G89" s="121">
        <v>0</v>
      </c>
      <c r="I89" s="121">
        <v>0</v>
      </c>
      <c r="J89" s="112"/>
      <c r="K89" s="121">
        <v>0</v>
      </c>
      <c r="L89" s="111"/>
      <c r="M89" s="121">
        <v>0</v>
      </c>
      <c r="N89" s="112"/>
      <c r="O89" s="121">
        <f t="shared" si="123"/>
        <v>0</v>
      </c>
      <c r="P89" s="121"/>
      <c r="Q89" s="121">
        <f t="shared" si="146"/>
        <v>0</v>
      </c>
      <c r="R89" s="121">
        <f t="shared" ref="R89" si="153">+I89*Inf</f>
        <v>0</v>
      </c>
      <c r="S89" s="121">
        <f t="shared" ref="S89" si="154">+M89*Inf</f>
        <v>0</v>
      </c>
      <c r="T89" s="58">
        <f t="shared" si="109"/>
        <v>0</v>
      </c>
      <c r="U89" s="59" t="e">
        <f t="shared" si="110"/>
        <v>#DIV/0!</v>
      </c>
      <c r="V89" s="59" t="e">
        <f t="shared" si="111"/>
        <v>#DIV/0!</v>
      </c>
      <c r="W89" s="121"/>
      <c r="X89" s="165" t="s">
        <v>270</v>
      </c>
      <c r="Y89" s="129" t="str">
        <f t="shared" si="150"/>
        <v/>
      </c>
      <c r="Z89" s="118"/>
      <c r="AA89" s="121"/>
    </row>
    <row r="90" spans="1:27" x14ac:dyDescent="0.25">
      <c r="A90" s="34"/>
      <c r="B90" s="118">
        <v>100</v>
      </c>
      <c r="C90" s="118">
        <v>4000</v>
      </c>
      <c r="D90" s="118">
        <v>7300</v>
      </c>
      <c r="E90" s="118">
        <v>690</v>
      </c>
      <c r="F90" s="109" t="s">
        <v>255</v>
      </c>
      <c r="G90" s="121">
        <v>0</v>
      </c>
      <c r="I90" s="121">
        <v>2025.3000000000002</v>
      </c>
      <c r="J90" s="112"/>
      <c r="K90" s="121">
        <v>0</v>
      </c>
      <c r="L90" s="111"/>
      <c r="M90" s="121">
        <v>2025.3000000000002</v>
      </c>
      <c r="N90" s="112"/>
      <c r="O90" s="121">
        <f t="shared" si="123"/>
        <v>4050.6000000000004</v>
      </c>
      <c r="P90" s="121"/>
      <c r="Q90" s="121">
        <f t="shared" si="146"/>
        <v>4091.1060000000002</v>
      </c>
      <c r="R90" s="121">
        <f t="shared" ref="R90:R92" si="155">+I90*Inf</f>
        <v>2045.5530000000001</v>
      </c>
      <c r="S90" s="121">
        <f t="shared" ref="S90:S92" si="156">+M90*Inf</f>
        <v>2045.5530000000001</v>
      </c>
      <c r="T90" s="121">
        <f t="shared" si="109"/>
        <v>0</v>
      </c>
      <c r="U90" s="167">
        <f t="shared" si="110"/>
        <v>0.5</v>
      </c>
      <c r="V90" s="167">
        <f t="shared" si="111"/>
        <v>0.5</v>
      </c>
      <c r="W90" s="121"/>
      <c r="X90" s="165" t="s">
        <v>270</v>
      </c>
      <c r="Y90" s="129" t="str">
        <f t="shared" si="150"/>
        <v>*</v>
      </c>
      <c r="Z90" s="118"/>
      <c r="AA90" s="121"/>
    </row>
    <row r="91" spans="1:27" x14ac:dyDescent="0.25">
      <c r="A91" s="34"/>
      <c r="B91" s="118">
        <v>100</v>
      </c>
      <c r="C91" s="118">
        <v>4000</v>
      </c>
      <c r="D91" s="118">
        <v>7300</v>
      </c>
      <c r="E91" s="118">
        <v>730</v>
      </c>
      <c r="F91" s="109" t="s">
        <v>286</v>
      </c>
      <c r="G91" s="121">
        <v>0</v>
      </c>
      <c r="I91" s="121">
        <v>215.24</v>
      </c>
      <c r="J91" s="112"/>
      <c r="K91" s="121">
        <v>0</v>
      </c>
      <c r="M91" s="121">
        <v>299.05333333333334</v>
      </c>
      <c r="N91" s="112"/>
      <c r="O91" s="121">
        <f t="shared" si="123"/>
        <v>514.29333333333329</v>
      </c>
      <c r="P91" s="121"/>
      <c r="Q91" s="121">
        <f t="shared" si="146"/>
        <v>519.43626666666671</v>
      </c>
      <c r="R91" s="121">
        <f t="shared" si="155"/>
        <v>217.39240000000001</v>
      </c>
      <c r="S91" s="121">
        <f t="shared" si="156"/>
        <v>302.0438666666667</v>
      </c>
      <c r="T91" s="58">
        <f t="shared" si="109"/>
        <v>0</v>
      </c>
      <c r="U91" s="59">
        <f t="shared" si="110"/>
        <v>0.41851602198485949</v>
      </c>
      <c r="V91" s="59">
        <f t="shared" si="111"/>
        <v>0.58148397801514051</v>
      </c>
      <c r="W91" s="121"/>
      <c r="X91" s="165" t="s">
        <v>270</v>
      </c>
      <c r="Y91" s="129" t="str">
        <f t="shared" si="150"/>
        <v>*</v>
      </c>
      <c r="Z91" s="118"/>
      <c r="AA91" s="121"/>
    </row>
    <row r="92" spans="1:27" x14ac:dyDescent="0.25">
      <c r="A92" s="34"/>
      <c r="B92" s="118">
        <v>100</v>
      </c>
      <c r="C92" s="118">
        <v>4000</v>
      </c>
      <c r="D92" s="118">
        <v>7400</v>
      </c>
      <c r="E92" s="118">
        <v>310</v>
      </c>
      <c r="F92" s="109" t="s">
        <v>235</v>
      </c>
      <c r="G92" s="121">
        <v>0</v>
      </c>
      <c r="I92" s="121">
        <v>0</v>
      </c>
      <c r="J92" s="112"/>
      <c r="K92" s="121">
        <v>0</v>
      </c>
      <c r="M92" s="121">
        <v>990</v>
      </c>
      <c r="N92" s="112"/>
      <c r="O92" s="121">
        <f t="shared" si="123"/>
        <v>990</v>
      </c>
      <c r="P92" s="121"/>
      <c r="Q92" s="121">
        <f t="shared" si="146"/>
        <v>999.9</v>
      </c>
      <c r="R92" s="121">
        <f t="shared" si="155"/>
        <v>0</v>
      </c>
      <c r="S92" s="121">
        <f t="shared" si="156"/>
        <v>999.9</v>
      </c>
      <c r="T92" s="58">
        <f t="shared" si="109"/>
        <v>0</v>
      </c>
      <c r="U92" s="59">
        <f t="shared" si="110"/>
        <v>0</v>
      </c>
      <c r="V92" s="59">
        <f t="shared" si="111"/>
        <v>1</v>
      </c>
      <c r="W92" s="121"/>
      <c r="X92" s="165" t="s">
        <v>270</v>
      </c>
      <c r="Y92" s="129" t="str">
        <f t="shared" si="150"/>
        <v>*</v>
      </c>
      <c r="Z92" s="118"/>
      <c r="AA92" s="121"/>
    </row>
    <row r="93" spans="1:27" x14ac:dyDescent="0.25">
      <c r="A93" s="34"/>
      <c r="B93" s="118">
        <v>100</v>
      </c>
      <c r="C93" s="118">
        <v>4000</v>
      </c>
      <c r="D93" s="118">
        <v>7400</v>
      </c>
      <c r="E93" s="118">
        <v>630</v>
      </c>
      <c r="F93" s="109" t="s">
        <v>287</v>
      </c>
      <c r="G93" s="121">
        <v>0</v>
      </c>
      <c r="I93" s="121">
        <v>0</v>
      </c>
      <c r="J93" s="112"/>
      <c r="K93" s="121">
        <v>0</v>
      </c>
      <c r="M93" s="121">
        <v>1015082.5499999998</v>
      </c>
      <c r="N93" s="112"/>
      <c r="O93" s="121">
        <f t="shared" ref="O93" si="157">I93+M93</f>
        <v>1015082.5499999998</v>
      </c>
      <c r="P93" s="121"/>
      <c r="Q93" s="121">
        <f t="shared" ref="Q93" si="158">SUBTOTAL(9,R93:S93)</f>
        <v>0</v>
      </c>
      <c r="R93" s="121">
        <v>0</v>
      </c>
      <c r="S93" s="121">
        <v>0</v>
      </c>
      <c r="T93" s="121">
        <f t="shared" ref="T93" si="159">Q93-R93-S93</f>
        <v>0</v>
      </c>
      <c r="U93" s="167" t="e">
        <f t="shared" ref="U93" si="160">+R93/Q93</f>
        <v>#DIV/0!</v>
      </c>
      <c r="V93" s="167" t="e">
        <f t="shared" ref="V93" si="161">+S93/Q93</f>
        <v>#DIV/0!</v>
      </c>
      <c r="W93" s="121"/>
      <c r="X93" s="165" t="s">
        <v>32</v>
      </c>
      <c r="Y93" s="129" t="str">
        <f t="shared" ref="Y93" si="162">IF((Q93+O93)&gt;0.49,"*","")</f>
        <v>*</v>
      </c>
      <c r="Z93" s="118"/>
      <c r="AA93" s="121"/>
    </row>
    <row r="94" spans="1:27" hidden="1" x14ac:dyDescent="0.25">
      <c r="A94" s="34"/>
      <c r="B94" s="118">
        <v>360</v>
      </c>
      <c r="C94" s="118">
        <v>4000</v>
      </c>
      <c r="D94" s="118">
        <v>7400</v>
      </c>
      <c r="E94" s="118">
        <v>630</v>
      </c>
      <c r="F94" s="109" t="s">
        <v>287</v>
      </c>
      <c r="G94" s="121">
        <v>0</v>
      </c>
      <c r="I94" s="121">
        <v>0</v>
      </c>
      <c r="J94" s="112"/>
      <c r="K94" s="121">
        <v>0</v>
      </c>
      <c r="M94" s="121">
        <v>0</v>
      </c>
      <c r="N94" s="112"/>
      <c r="O94" s="121">
        <f t="shared" si="123"/>
        <v>0</v>
      </c>
      <c r="P94" s="121"/>
      <c r="Q94" s="121">
        <f t="shared" ref="Q94" si="163">SUBTOTAL(9,R94:S94)</f>
        <v>0</v>
      </c>
      <c r="R94" s="121">
        <f t="shared" ref="R94" si="164">+I94*Inf</f>
        <v>0</v>
      </c>
      <c r="S94" s="121">
        <f t="shared" ref="S94" si="165">+M94*Inf</f>
        <v>0</v>
      </c>
      <c r="T94" s="58">
        <f t="shared" ref="T94" si="166">Q94-R94-S94</f>
        <v>0</v>
      </c>
      <c r="U94" s="59" t="e">
        <f t="shared" ref="U94" si="167">+R94/Q94</f>
        <v>#DIV/0!</v>
      </c>
      <c r="V94" s="59" t="e">
        <f t="shared" ref="V94" si="168">+S94/Q94</f>
        <v>#DIV/0!</v>
      </c>
      <c r="W94" s="121"/>
      <c r="X94" s="165" t="s">
        <v>270</v>
      </c>
      <c r="Y94" s="129" t="str">
        <f t="shared" si="150"/>
        <v/>
      </c>
      <c r="Z94" s="118"/>
      <c r="AA94" s="121"/>
    </row>
    <row r="95" spans="1:27" x14ac:dyDescent="0.25">
      <c r="A95" s="34"/>
      <c r="B95" s="118">
        <v>495</v>
      </c>
      <c r="C95" s="118">
        <v>4000</v>
      </c>
      <c r="D95" s="118">
        <v>7400</v>
      </c>
      <c r="E95" s="118">
        <v>630</v>
      </c>
      <c r="F95" s="109" t="s">
        <v>288</v>
      </c>
      <c r="G95" s="121">
        <v>0</v>
      </c>
      <c r="I95" s="121">
        <v>0</v>
      </c>
      <c r="J95" s="112"/>
      <c r="K95" s="121">
        <v>0</v>
      </c>
      <c r="M95" s="121">
        <v>6457.69</v>
      </c>
      <c r="N95" s="112"/>
      <c r="O95" s="121">
        <f t="shared" si="123"/>
        <v>6457.69</v>
      </c>
      <c r="P95" s="121"/>
      <c r="Q95" s="121">
        <f t="shared" ref="Q95:Q96" si="169">SUBTOTAL(9,R95:S95)</f>
        <v>0</v>
      </c>
      <c r="R95" s="121">
        <v>0</v>
      </c>
      <c r="S95" s="121">
        <v>0</v>
      </c>
      <c r="T95" s="121">
        <f t="shared" ref="T95:T96" si="170">Q95-R95-S95</f>
        <v>0</v>
      </c>
      <c r="U95" s="167" t="e">
        <f t="shared" ref="U95:U96" si="171">+R95/Q95</f>
        <v>#DIV/0!</v>
      </c>
      <c r="V95" s="167" t="e">
        <f t="shared" ref="V95:V96" si="172">+S95/Q95</f>
        <v>#DIV/0!</v>
      </c>
      <c r="W95" s="121"/>
      <c r="X95" s="165" t="s">
        <v>339</v>
      </c>
      <c r="Y95" s="129" t="str">
        <f t="shared" si="150"/>
        <v>*</v>
      </c>
      <c r="Z95" s="118"/>
      <c r="AA95" s="121"/>
    </row>
    <row r="96" spans="1:27" hidden="1" x14ac:dyDescent="0.25">
      <c r="A96" s="34"/>
      <c r="B96" s="118">
        <v>495</v>
      </c>
      <c r="C96" s="118">
        <v>4000</v>
      </c>
      <c r="D96" s="118">
        <v>7400</v>
      </c>
      <c r="E96" s="118">
        <v>670</v>
      </c>
      <c r="F96" s="109" t="s">
        <v>289</v>
      </c>
      <c r="G96" s="121">
        <v>0</v>
      </c>
      <c r="I96" s="121">
        <v>0</v>
      </c>
      <c r="J96" s="112"/>
      <c r="K96" s="121">
        <v>0</v>
      </c>
      <c r="M96" s="121">
        <v>0</v>
      </c>
      <c r="N96" s="112"/>
      <c r="O96" s="121">
        <f t="shared" si="123"/>
        <v>0</v>
      </c>
      <c r="P96" s="121"/>
      <c r="Q96" s="121">
        <f t="shared" si="169"/>
        <v>0</v>
      </c>
      <c r="R96" s="121">
        <v>0</v>
      </c>
      <c r="S96" s="121">
        <v>0</v>
      </c>
      <c r="T96" s="121">
        <f t="shared" si="170"/>
        <v>0</v>
      </c>
      <c r="U96" s="167" t="e">
        <f t="shared" si="171"/>
        <v>#DIV/0!</v>
      </c>
      <c r="V96" s="167" t="e">
        <f t="shared" si="172"/>
        <v>#DIV/0!</v>
      </c>
      <c r="W96" s="121"/>
      <c r="X96" s="165" t="s">
        <v>339</v>
      </c>
      <c r="Y96" s="129" t="str">
        <f t="shared" si="150"/>
        <v/>
      </c>
      <c r="Z96" s="118"/>
      <c r="AA96" s="121"/>
    </row>
    <row r="97" spans="1:27" x14ac:dyDescent="0.25">
      <c r="A97" s="34"/>
      <c r="B97" s="118">
        <v>100</v>
      </c>
      <c r="C97" s="118">
        <v>4000</v>
      </c>
      <c r="D97" s="118">
        <v>7500</v>
      </c>
      <c r="E97" s="118">
        <v>310</v>
      </c>
      <c r="F97" s="109" t="s">
        <v>290</v>
      </c>
      <c r="G97" s="117">
        <v>0</v>
      </c>
      <c r="I97" s="121">
        <v>47602.664194060751</v>
      </c>
      <c r="J97" s="179"/>
      <c r="K97" s="117">
        <v>0</v>
      </c>
      <c r="M97" s="121">
        <v>32386.188750000001</v>
      </c>
      <c r="N97" s="112"/>
      <c r="O97" s="121">
        <f t="shared" si="123"/>
        <v>79988.852944060753</v>
      </c>
      <c r="P97" s="121"/>
      <c r="Q97" s="121">
        <f t="shared" si="146"/>
        <v>91408.511874999997</v>
      </c>
      <c r="R97" s="121">
        <f>+('Revenue Input'!$P$11+'Revenue Input'!$P$12-'Expense Input'!$R$72)*2.5%</f>
        <v>53659.359375</v>
      </c>
      <c r="S97" s="121">
        <f>+('Revenue Input'!$Q$11+'Revenue Input'!$Q$12-'Expense Input'!$S$72)*2.5%</f>
        <v>37749.152500000004</v>
      </c>
      <c r="T97" s="121">
        <f t="shared" si="109"/>
        <v>0</v>
      </c>
      <c r="U97" s="167">
        <f t="shared" si="110"/>
        <v>0.58702803791815916</v>
      </c>
      <c r="V97" s="167">
        <f t="shared" si="111"/>
        <v>0.41297196208184089</v>
      </c>
      <c r="W97" s="121"/>
      <c r="X97" s="165" t="s">
        <v>79</v>
      </c>
      <c r="Y97" s="129" t="str">
        <f t="shared" si="150"/>
        <v>*</v>
      </c>
      <c r="Z97" s="118"/>
      <c r="AA97" s="121"/>
    </row>
    <row r="98" spans="1:27" x14ac:dyDescent="0.25">
      <c r="A98" s="34"/>
      <c r="B98" s="118">
        <v>100</v>
      </c>
      <c r="C98" s="118">
        <v>4000</v>
      </c>
      <c r="D98" s="118">
        <v>7500</v>
      </c>
      <c r="E98" s="118">
        <v>311</v>
      </c>
      <c r="F98" s="109" t="s">
        <v>291</v>
      </c>
      <c r="G98" s="117">
        <v>0</v>
      </c>
      <c r="I98" s="121">
        <v>18860.28</v>
      </c>
      <c r="J98" s="179"/>
      <c r="K98" s="117">
        <v>0</v>
      </c>
      <c r="M98" s="121">
        <v>15200.820000000002</v>
      </c>
      <c r="N98" s="112"/>
      <c r="O98" s="121">
        <f t="shared" si="123"/>
        <v>34061.1</v>
      </c>
      <c r="P98" s="121"/>
      <c r="Q98" s="121">
        <f t="shared" si="146"/>
        <v>31523.164205380046</v>
      </c>
      <c r="R98" s="121">
        <f>0.0125*(Budget!H460+R44)</f>
        <v>19495.761935098155</v>
      </c>
      <c r="S98" s="121">
        <f>0.0125*(Budget!I460+S44)</f>
        <v>12027.402270281891</v>
      </c>
      <c r="T98" s="121">
        <f t="shared" ref="T98:T110" si="173">Q98-R98-S98</f>
        <v>0</v>
      </c>
      <c r="U98" s="167">
        <f t="shared" ref="U98:U110" si="174">+R98/Q98</f>
        <v>0.61845828064972042</v>
      </c>
      <c r="V98" s="167">
        <f t="shared" ref="V98:V110" si="175">+S98/Q98</f>
        <v>0.38154171935027953</v>
      </c>
      <c r="W98" s="121"/>
      <c r="X98" s="165" t="s">
        <v>79</v>
      </c>
      <c r="Y98" s="129" t="str">
        <f t="shared" si="150"/>
        <v>*</v>
      </c>
      <c r="Z98" s="118"/>
      <c r="AA98" s="121"/>
    </row>
    <row r="99" spans="1:27" hidden="1" x14ac:dyDescent="0.25">
      <c r="A99" s="34"/>
      <c r="B99" s="118">
        <v>410</v>
      </c>
      <c r="C99" s="118">
        <v>4000</v>
      </c>
      <c r="D99" s="118">
        <v>7600</v>
      </c>
      <c r="E99" s="118">
        <v>310</v>
      </c>
      <c r="F99" s="109" t="s">
        <v>292</v>
      </c>
      <c r="G99" s="121">
        <v>0</v>
      </c>
      <c r="I99" s="121">
        <v>0</v>
      </c>
      <c r="J99" s="112"/>
      <c r="K99" s="121">
        <v>0</v>
      </c>
      <c r="M99" s="121">
        <v>0</v>
      </c>
      <c r="N99" s="112"/>
      <c r="O99" s="121">
        <f t="shared" si="123"/>
        <v>0</v>
      </c>
      <c r="P99" s="121"/>
      <c r="Q99" s="121">
        <f t="shared" ref="Q99:Q110" si="176">SUBTOTAL(9,R99:S99)</f>
        <v>0</v>
      </c>
      <c r="R99" s="121">
        <f t="shared" ref="R99:R106" si="177">+I99*Inf</f>
        <v>0</v>
      </c>
      <c r="S99" s="121">
        <f t="shared" ref="S99:S106" si="178">+M99*Inf</f>
        <v>0</v>
      </c>
      <c r="T99" s="121">
        <f t="shared" si="173"/>
        <v>0</v>
      </c>
      <c r="U99" s="167" t="e">
        <f t="shared" si="174"/>
        <v>#DIV/0!</v>
      </c>
      <c r="V99" s="167" t="e">
        <f t="shared" si="175"/>
        <v>#DIV/0!</v>
      </c>
      <c r="W99" s="121"/>
      <c r="X99" s="165" t="s">
        <v>270</v>
      </c>
      <c r="Y99" s="129" t="str">
        <f t="shared" si="150"/>
        <v/>
      </c>
      <c r="Z99" s="118"/>
      <c r="AA99" s="121"/>
    </row>
    <row r="100" spans="1:27" hidden="1" x14ac:dyDescent="0.25">
      <c r="A100" s="34"/>
      <c r="B100" s="118">
        <v>410</v>
      </c>
      <c r="C100" s="118">
        <v>4000</v>
      </c>
      <c r="D100" s="118">
        <v>7600</v>
      </c>
      <c r="E100" s="118">
        <v>320</v>
      </c>
      <c r="F100" s="109" t="s">
        <v>271</v>
      </c>
      <c r="G100" s="121">
        <v>0</v>
      </c>
      <c r="I100" s="121">
        <v>0</v>
      </c>
      <c r="J100" s="112"/>
      <c r="K100" s="121">
        <v>0</v>
      </c>
      <c r="M100" s="121">
        <v>0</v>
      </c>
      <c r="N100" s="112"/>
      <c r="O100" s="121">
        <f t="shared" si="123"/>
        <v>0</v>
      </c>
      <c r="P100" s="121"/>
      <c r="Q100" s="121">
        <f t="shared" si="176"/>
        <v>0</v>
      </c>
      <c r="R100" s="121">
        <f t="shared" si="177"/>
        <v>0</v>
      </c>
      <c r="S100" s="121">
        <f t="shared" si="178"/>
        <v>0</v>
      </c>
      <c r="T100" s="58">
        <f t="shared" si="173"/>
        <v>0</v>
      </c>
      <c r="U100" s="59" t="e">
        <f t="shared" si="174"/>
        <v>#DIV/0!</v>
      </c>
      <c r="V100" s="59" t="e">
        <f t="shared" si="175"/>
        <v>#DIV/0!</v>
      </c>
      <c r="W100" s="121"/>
      <c r="X100" s="165" t="s">
        <v>270</v>
      </c>
      <c r="Y100" s="129" t="str">
        <f t="shared" si="150"/>
        <v/>
      </c>
      <c r="Z100" s="118"/>
      <c r="AA100" s="121"/>
    </row>
    <row r="101" spans="1:27" x14ac:dyDescent="0.25">
      <c r="A101" s="34"/>
      <c r="B101" s="118">
        <v>410</v>
      </c>
      <c r="C101" s="118">
        <v>4000</v>
      </c>
      <c r="D101" s="118">
        <v>7600</v>
      </c>
      <c r="E101" s="118">
        <v>350</v>
      </c>
      <c r="F101" s="109" t="s">
        <v>293</v>
      </c>
      <c r="G101" s="121">
        <v>0</v>
      </c>
      <c r="I101" s="121">
        <v>0</v>
      </c>
      <c r="J101" s="112"/>
      <c r="K101" s="121">
        <v>0</v>
      </c>
      <c r="M101" s="121">
        <v>356.44</v>
      </c>
      <c r="N101" s="112"/>
      <c r="O101" s="121">
        <f t="shared" si="123"/>
        <v>356.44</v>
      </c>
      <c r="P101" s="121"/>
      <c r="Q101" s="121">
        <f t="shared" si="176"/>
        <v>360.00439999999998</v>
      </c>
      <c r="R101" s="121">
        <f t="shared" si="177"/>
        <v>0</v>
      </c>
      <c r="S101" s="121">
        <f t="shared" si="178"/>
        <v>360.00439999999998</v>
      </c>
      <c r="T101" s="58">
        <f t="shared" si="173"/>
        <v>0</v>
      </c>
      <c r="U101" s="59">
        <f t="shared" si="174"/>
        <v>0</v>
      </c>
      <c r="V101" s="59">
        <f t="shared" si="175"/>
        <v>1</v>
      </c>
      <c r="W101" s="121"/>
      <c r="X101" s="165" t="s">
        <v>270</v>
      </c>
      <c r="Y101" s="129" t="str">
        <f t="shared" si="150"/>
        <v>*</v>
      </c>
      <c r="Z101" s="118"/>
      <c r="AA101" s="121"/>
    </row>
    <row r="102" spans="1:27" x14ac:dyDescent="0.25">
      <c r="A102" s="34"/>
      <c r="B102" s="118">
        <v>410</v>
      </c>
      <c r="C102" s="118">
        <v>4000</v>
      </c>
      <c r="D102" s="118">
        <v>7600</v>
      </c>
      <c r="E102" s="118">
        <v>365</v>
      </c>
      <c r="F102" s="109" t="s">
        <v>241</v>
      </c>
      <c r="G102" s="121"/>
      <c r="I102" s="121">
        <v>0</v>
      </c>
      <c r="J102" s="112"/>
      <c r="K102" s="121"/>
      <c r="M102" s="121">
        <v>3270</v>
      </c>
      <c r="N102" s="112"/>
      <c r="O102" s="121">
        <f t="shared" si="123"/>
        <v>3270</v>
      </c>
      <c r="P102" s="121"/>
      <c r="Q102" s="121">
        <f t="shared" si="176"/>
        <v>3302.7</v>
      </c>
      <c r="R102" s="121">
        <f t="shared" si="177"/>
        <v>0</v>
      </c>
      <c r="S102" s="121">
        <f t="shared" si="178"/>
        <v>3302.7</v>
      </c>
      <c r="T102" s="58">
        <f t="shared" si="173"/>
        <v>0</v>
      </c>
      <c r="U102" s="59">
        <f t="shared" si="174"/>
        <v>0</v>
      </c>
      <c r="V102" s="59">
        <f t="shared" si="175"/>
        <v>1</v>
      </c>
      <c r="W102" s="121"/>
      <c r="X102" s="165" t="s">
        <v>270</v>
      </c>
      <c r="Y102" s="129" t="str">
        <f t="shared" si="150"/>
        <v>*</v>
      </c>
      <c r="Z102" s="118"/>
      <c r="AA102" s="121"/>
    </row>
    <row r="103" spans="1:27" hidden="1" x14ac:dyDescent="0.25">
      <c r="A103" s="34"/>
      <c r="B103" s="118">
        <v>410</v>
      </c>
      <c r="C103" s="118">
        <v>4000</v>
      </c>
      <c r="D103" s="118">
        <v>7600</v>
      </c>
      <c r="E103" s="118">
        <v>370</v>
      </c>
      <c r="F103" s="109" t="s">
        <v>280</v>
      </c>
      <c r="G103" s="121">
        <v>0</v>
      </c>
      <c r="I103" s="121">
        <v>0</v>
      </c>
      <c r="J103" s="112"/>
      <c r="K103" s="121">
        <v>0</v>
      </c>
      <c r="M103" s="121">
        <v>0</v>
      </c>
      <c r="N103" s="112"/>
      <c r="O103" s="121">
        <f t="shared" si="123"/>
        <v>0</v>
      </c>
      <c r="P103" s="121"/>
      <c r="Q103" s="121">
        <f t="shared" si="176"/>
        <v>0</v>
      </c>
      <c r="R103" s="121">
        <f t="shared" si="177"/>
        <v>0</v>
      </c>
      <c r="S103" s="121">
        <f t="shared" si="178"/>
        <v>0</v>
      </c>
      <c r="T103" s="58">
        <f t="shared" si="173"/>
        <v>0</v>
      </c>
      <c r="U103" s="59" t="e">
        <f t="shared" si="174"/>
        <v>#DIV/0!</v>
      </c>
      <c r="V103" s="59" t="e">
        <f t="shared" si="175"/>
        <v>#DIV/0!</v>
      </c>
      <c r="W103" s="121"/>
      <c r="X103" s="165" t="s">
        <v>270</v>
      </c>
      <c r="Y103" s="129" t="str">
        <f t="shared" si="150"/>
        <v/>
      </c>
      <c r="Z103" s="118"/>
      <c r="AA103" s="121"/>
    </row>
    <row r="104" spans="1:27" s="1" customFormat="1" x14ac:dyDescent="0.25">
      <c r="A104" s="34"/>
      <c r="B104" s="118">
        <v>410</v>
      </c>
      <c r="C104" s="118">
        <v>4000</v>
      </c>
      <c r="D104" s="118">
        <v>7600</v>
      </c>
      <c r="E104" s="118">
        <v>410</v>
      </c>
      <c r="F104" s="109" t="s">
        <v>294</v>
      </c>
      <c r="G104" s="121">
        <v>0</v>
      </c>
      <c r="H104" s="110"/>
      <c r="I104" s="121">
        <v>0</v>
      </c>
      <c r="J104" s="112"/>
      <c r="K104" s="121">
        <v>0</v>
      </c>
      <c r="L104" s="110"/>
      <c r="M104" s="121">
        <v>3305.8649999999998</v>
      </c>
      <c r="N104" s="112"/>
      <c r="O104" s="121">
        <f t="shared" si="123"/>
        <v>3305.8649999999998</v>
      </c>
      <c r="P104" s="121"/>
      <c r="Q104" s="121">
        <f t="shared" si="176"/>
        <v>3338.9236499999997</v>
      </c>
      <c r="R104" s="121">
        <f t="shared" si="177"/>
        <v>0</v>
      </c>
      <c r="S104" s="121">
        <f>+M104*Inf</f>
        <v>3338.9236499999997</v>
      </c>
      <c r="T104" s="58">
        <f t="shared" si="173"/>
        <v>0</v>
      </c>
      <c r="U104" s="59">
        <f t="shared" si="174"/>
        <v>0</v>
      </c>
      <c r="V104" s="59">
        <f t="shared" si="175"/>
        <v>1</v>
      </c>
      <c r="W104" s="121"/>
      <c r="X104" s="165" t="s">
        <v>270</v>
      </c>
      <c r="Y104" s="129" t="str">
        <f t="shared" si="150"/>
        <v>*</v>
      </c>
      <c r="Z104" s="118"/>
      <c r="AA104" s="121"/>
    </row>
    <row r="105" spans="1:27" s="129" customFormat="1" hidden="1" x14ac:dyDescent="0.25">
      <c r="A105" s="34"/>
      <c r="B105" s="118">
        <v>410</v>
      </c>
      <c r="C105" s="118">
        <v>4000</v>
      </c>
      <c r="D105" s="118">
        <v>7600</v>
      </c>
      <c r="E105" s="118">
        <v>430</v>
      </c>
      <c r="F105" s="109" t="s">
        <v>295</v>
      </c>
      <c r="G105" s="121"/>
      <c r="H105" s="110"/>
      <c r="I105" s="121">
        <v>0</v>
      </c>
      <c r="J105" s="112"/>
      <c r="K105" s="121"/>
      <c r="L105" s="110"/>
      <c r="M105" s="121">
        <v>0</v>
      </c>
      <c r="N105" s="112"/>
      <c r="O105" s="121">
        <f t="shared" si="123"/>
        <v>0</v>
      </c>
      <c r="P105" s="121"/>
      <c r="Q105" s="121">
        <f t="shared" si="176"/>
        <v>0</v>
      </c>
      <c r="R105" s="121">
        <f t="shared" si="177"/>
        <v>0</v>
      </c>
      <c r="S105" s="121">
        <f t="shared" si="178"/>
        <v>0</v>
      </c>
      <c r="T105" s="58">
        <f t="shared" si="173"/>
        <v>0</v>
      </c>
      <c r="U105" s="59" t="e">
        <f t="shared" si="174"/>
        <v>#DIV/0!</v>
      </c>
      <c r="V105" s="59" t="e">
        <f t="shared" si="175"/>
        <v>#DIV/0!</v>
      </c>
      <c r="W105" s="121"/>
      <c r="X105" s="165" t="s">
        <v>270</v>
      </c>
      <c r="Y105" s="129" t="str">
        <f t="shared" si="150"/>
        <v/>
      </c>
      <c r="Z105" s="118"/>
      <c r="AA105" s="121"/>
    </row>
    <row r="106" spans="1:27" s="1" customFormat="1" x14ac:dyDescent="0.25">
      <c r="A106" s="34"/>
      <c r="B106" s="118">
        <v>410</v>
      </c>
      <c r="C106" s="118">
        <v>4000</v>
      </c>
      <c r="D106" s="118">
        <v>7600</v>
      </c>
      <c r="E106" s="118">
        <v>450</v>
      </c>
      <c r="F106" s="109" t="s">
        <v>296</v>
      </c>
      <c r="G106" s="121">
        <v>0</v>
      </c>
      <c r="H106" s="110"/>
      <c r="I106" s="121">
        <v>0</v>
      </c>
      <c r="J106" s="112"/>
      <c r="K106" s="121">
        <v>0</v>
      </c>
      <c r="L106" s="110"/>
      <c r="M106" s="121">
        <v>241.8</v>
      </c>
      <c r="N106" s="112"/>
      <c r="O106" s="121">
        <f t="shared" si="123"/>
        <v>241.8</v>
      </c>
      <c r="P106" s="121"/>
      <c r="Q106" s="121">
        <f t="shared" si="176"/>
        <v>244.21800000000002</v>
      </c>
      <c r="R106" s="121">
        <f t="shared" si="177"/>
        <v>0</v>
      </c>
      <c r="S106" s="121">
        <f t="shared" si="178"/>
        <v>244.21800000000002</v>
      </c>
      <c r="T106" s="58">
        <f t="shared" si="173"/>
        <v>0</v>
      </c>
      <c r="U106" s="59">
        <f t="shared" si="174"/>
        <v>0</v>
      </c>
      <c r="V106" s="59">
        <f t="shared" si="175"/>
        <v>1</v>
      </c>
      <c r="W106" s="121"/>
      <c r="X106" s="165" t="s">
        <v>270</v>
      </c>
      <c r="Y106" s="129" t="str">
        <f t="shared" si="150"/>
        <v>*</v>
      </c>
      <c r="Z106" s="118"/>
      <c r="AA106" s="121"/>
    </row>
    <row r="107" spans="1:27" x14ac:dyDescent="0.25">
      <c r="A107" s="34"/>
      <c r="B107" s="118">
        <v>410</v>
      </c>
      <c r="C107" s="118">
        <v>4000</v>
      </c>
      <c r="D107" s="118">
        <v>7600</v>
      </c>
      <c r="E107" s="118">
        <v>510</v>
      </c>
      <c r="F107" s="109" t="s">
        <v>297</v>
      </c>
      <c r="G107" s="121">
        <v>0</v>
      </c>
      <c r="I107" s="121">
        <v>0</v>
      </c>
      <c r="J107" s="112"/>
      <c r="K107" s="121">
        <v>0</v>
      </c>
      <c r="M107" s="121">
        <v>92662.597500000003</v>
      </c>
      <c r="N107" s="112"/>
      <c r="O107" s="121">
        <f t="shared" si="123"/>
        <v>92662.597500000003</v>
      </c>
      <c r="P107" s="121"/>
      <c r="Q107" s="121">
        <f>SUBTOTAL(9,R107:S107)</f>
        <v>102247.46133276304</v>
      </c>
      <c r="R107" s="121">
        <f>+I107/'Revenue Input'!$O$73*'Revenue Input'!$O$74*Inf</f>
        <v>0</v>
      </c>
      <c r="S107" s="121">
        <f>+O107/EnrOld*EnrNew*Inf</f>
        <v>102247.46133276304</v>
      </c>
      <c r="T107" s="121">
        <f t="shared" si="173"/>
        <v>0</v>
      </c>
      <c r="U107" s="167">
        <f t="shared" si="174"/>
        <v>0</v>
      </c>
      <c r="V107" s="167">
        <f t="shared" si="175"/>
        <v>1</v>
      </c>
      <c r="W107" s="121"/>
      <c r="X107" s="165" t="s">
        <v>42</v>
      </c>
      <c r="Y107" s="129" t="str">
        <f t="shared" si="150"/>
        <v>*</v>
      </c>
      <c r="Z107" s="118"/>
      <c r="AA107" s="121"/>
    </row>
    <row r="108" spans="1:27" hidden="1" x14ac:dyDescent="0.25">
      <c r="A108" s="34"/>
      <c r="B108" s="118">
        <v>495</v>
      </c>
      <c r="C108" s="118">
        <v>4000</v>
      </c>
      <c r="D108" s="118">
        <v>7600</v>
      </c>
      <c r="E108" s="118">
        <v>510</v>
      </c>
      <c r="F108" s="109" t="s">
        <v>273</v>
      </c>
      <c r="G108" s="121">
        <v>0</v>
      </c>
      <c r="I108" s="121">
        <v>0</v>
      </c>
      <c r="J108" s="112"/>
      <c r="K108" s="121">
        <v>0</v>
      </c>
      <c r="M108" s="121">
        <v>0</v>
      </c>
      <c r="N108" s="112"/>
      <c r="O108" s="121">
        <f t="shared" si="123"/>
        <v>0</v>
      </c>
      <c r="P108" s="121"/>
      <c r="Q108" s="121">
        <f t="shared" si="176"/>
        <v>0</v>
      </c>
      <c r="R108" s="121">
        <v>0</v>
      </c>
      <c r="S108" s="121">
        <v>0</v>
      </c>
      <c r="T108" s="121">
        <f t="shared" si="173"/>
        <v>0</v>
      </c>
      <c r="U108" s="167" t="e">
        <f t="shared" si="174"/>
        <v>#DIV/0!</v>
      </c>
      <c r="V108" s="167" t="e">
        <f t="shared" si="175"/>
        <v>#DIV/0!</v>
      </c>
      <c r="W108" s="121"/>
      <c r="X108" s="165" t="s">
        <v>339</v>
      </c>
      <c r="Y108" s="129" t="str">
        <f t="shared" si="150"/>
        <v/>
      </c>
      <c r="Z108" s="118"/>
      <c r="AA108" s="121"/>
    </row>
    <row r="109" spans="1:27" x14ac:dyDescent="0.25">
      <c r="A109" s="34"/>
      <c r="B109" s="118">
        <v>410</v>
      </c>
      <c r="C109" s="118">
        <v>4000</v>
      </c>
      <c r="D109" s="118">
        <v>7600</v>
      </c>
      <c r="E109" s="118">
        <v>511</v>
      </c>
      <c r="F109" s="109" t="s">
        <v>298</v>
      </c>
      <c r="G109" s="121"/>
      <c r="I109" s="121">
        <v>0</v>
      </c>
      <c r="J109" s="112"/>
      <c r="K109" s="121"/>
      <c r="M109" s="121">
        <v>3482.5025000000005</v>
      </c>
      <c r="N109" s="112"/>
      <c r="O109" s="121">
        <f t="shared" si="123"/>
        <v>3482.5025000000005</v>
      </c>
      <c r="P109" s="121"/>
      <c r="Q109" s="121">
        <f>SUBTOTAL(9,R109:S109)</f>
        <v>3842.7267238002973</v>
      </c>
      <c r="R109" s="121">
        <f>+I109/'Revenue Input'!$O$73*'Revenue Input'!$O$74*Inf</f>
        <v>0</v>
      </c>
      <c r="S109" s="121">
        <f>+O109/EnrOld*EnrNew*Inf</f>
        <v>3842.7267238002973</v>
      </c>
      <c r="T109" s="121">
        <f t="shared" ref="T109" si="179">Q109-R109-S109</f>
        <v>0</v>
      </c>
      <c r="U109" s="167">
        <f t="shared" ref="U109" si="180">+R109/Q109</f>
        <v>0</v>
      </c>
      <c r="V109" s="167">
        <f t="shared" ref="V109" si="181">+S109/Q109</f>
        <v>1</v>
      </c>
      <c r="W109" s="121"/>
      <c r="X109" s="165" t="s">
        <v>42</v>
      </c>
      <c r="Y109" s="129" t="str">
        <f t="shared" si="150"/>
        <v>*</v>
      </c>
      <c r="Z109" s="118"/>
      <c r="AA109" s="121"/>
    </row>
    <row r="110" spans="1:27" hidden="1" x14ac:dyDescent="0.25">
      <c r="A110" s="34"/>
      <c r="B110" s="118">
        <v>495</v>
      </c>
      <c r="C110" s="118">
        <v>4000</v>
      </c>
      <c r="D110" s="118">
        <v>7600</v>
      </c>
      <c r="E110" s="118">
        <v>640</v>
      </c>
      <c r="F110" s="109" t="s">
        <v>299</v>
      </c>
      <c r="G110" s="121">
        <v>0</v>
      </c>
      <c r="I110" s="121">
        <v>0</v>
      </c>
      <c r="J110" s="112"/>
      <c r="K110" s="121">
        <v>0</v>
      </c>
      <c r="M110" s="121">
        <v>0</v>
      </c>
      <c r="N110" s="112"/>
      <c r="O110" s="121">
        <f t="shared" si="123"/>
        <v>0</v>
      </c>
      <c r="P110" s="121"/>
      <c r="Q110" s="121">
        <f t="shared" si="176"/>
        <v>0</v>
      </c>
      <c r="R110" s="121">
        <v>0</v>
      </c>
      <c r="S110" s="121">
        <v>0</v>
      </c>
      <c r="T110" s="121">
        <f t="shared" si="173"/>
        <v>0</v>
      </c>
      <c r="U110" s="167" t="e">
        <f t="shared" si="174"/>
        <v>#DIV/0!</v>
      </c>
      <c r="V110" s="167" t="e">
        <f t="shared" si="175"/>
        <v>#DIV/0!</v>
      </c>
      <c r="W110" s="121"/>
      <c r="X110" s="165" t="s">
        <v>339</v>
      </c>
      <c r="Y110" s="129" t="str">
        <f t="shared" si="150"/>
        <v/>
      </c>
      <c r="Z110" s="118"/>
      <c r="AA110" s="121"/>
    </row>
    <row r="111" spans="1:27" s="1" customFormat="1" x14ac:dyDescent="0.25">
      <c r="A111" s="34"/>
      <c r="B111" s="118">
        <v>410</v>
      </c>
      <c r="C111" s="118">
        <v>4000</v>
      </c>
      <c r="D111" s="118">
        <v>7600</v>
      </c>
      <c r="E111" s="118">
        <v>641</v>
      </c>
      <c r="F111" s="109" t="s">
        <v>284</v>
      </c>
      <c r="G111" s="121">
        <v>0</v>
      </c>
      <c r="H111" s="110"/>
      <c r="I111" s="121">
        <v>0</v>
      </c>
      <c r="J111" s="112"/>
      <c r="K111" s="121">
        <v>0</v>
      </c>
      <c r="L111" s="110"/>
      <c r="M111" s="121">
        <v>37891.5</v>
      </c>
      <c r="N111" s="112"/>
      <c r="O111" s="121">
        <f t="shared" si="123"/>
        <v>37891.5</v>
      </c>
      <c r="P111" s="121"/>
      <c r="Q111" s="121">
        <f t="shared" ref="Q111:Q116" si="182">SUBTOTAL(9,R111:S111)</f>
        <v>2000</v>
      </c>
      <c r="R111" s="121">
        <f t="shared" ref="R111:R116" si="183">+I111*Inf</f>
        <v>0</v>
      </c>
      <c r="S111" s="121">
        <v>2000</v>
      </c>
      <c r="T111" s="121">
        <f t="shared" ref="T111:T116" si="184">Q111-R111-S111</f>
        <v>0</v>
      </c>
      <c r="U111" s="167">
        <f t="shared" ref="U111:U116" si="185">+R111/Q111</f>
        <v>0</v>
      </c>
      <c r="V111" s="167">
        <f t="shared" ref="V111:V116" si="186">+S111/Q111</f>
        <v>1</v>
      </c>
      <c r="W111" s="121"/>
      <c r="X111" s="165" t="s">
        <v>248</v>
      </c>
      <c r="Y111" s="129" t="str">
        <f t="shared" si="150"/>
        <v>*</v>
      </c>
      <c r="Z111" s="118"/>
      <c r="AA111" s="121"/>
    </row>
    <row r="112" spans="1:27" hidden="1" x14ac:dyDescent="0.25">
      <c r="A112" s="34"/>
      <c r="B112" s="118">
        <v>410</v>
      </c>
      <c r="C112" s="118">
        <v>4000</v>
      </c>
      <c r="D112" s="118">
        <v>7600</v>
      </c>
      <c r="E112" s="118">
        <v>642</v>
      </c>
      <c r="F112" s="109" t="s">
        <v>300</v>
      </c>
      <c r="G112" s="121">
        <v>0</v>
      </c>
      <c r="I112" s="121">
        <v>0</v>
      </c>
      <c r="J112" s="112"/>
      <c r="K112" s="121">
        <v>0</v>
      </c>
      <c r="M112" s="121">
        <v>0</v>
      </c>
      <c r="N112" s="112"/>
      <c r="O112" s="121">
        <f t="shared" si="123"/>
        <v>0</v>
      </c>
      <c r="P112" s="121"/>
      <c r="Q112" s="121">
        <f t="shared" si="182"/>
        <v>0</v>
      </c>
      <c r="R112" s="121">
        <f t="shared" si="183"/>
        <v>0</v>
      </c>
      <c r="S112" s="121">
        <f t="shared" ref="S112:S116" si="187">+M112*Inf</f>
        <v>0</v>
      </c>
      <c r="T112" s="121">
        <f t="shared" si="184"/>
        <v>0</v>
      </c>
      <c r="U112" s="167" t="e">
        <f t="shared" si="185"/>
        <v>#DIV/0!</v>
      </c>
      <c r="V112" s="167" t="e">
        <f t="shared" si="186"/>
        <v>#DIV/0!</v>
      </c>
      <c r="W112" s="121"/>
      <c r="X112" s="165" t="s">
        <v>270</v>
      </c>
      <c r="Y112" s="129" t="str">
        <f t="shared" si="150"/>
        <v/>
      </c>
      <c r="Z112" s="118"/>
      <c r="AA112" s="121"/>
    </row>
    <row r="113" spans="1:27" hidden="1" x14ac:dyDescent="0.25">
      <c r="A113" s="34"/>
      <c r="B113" s="118">
        <v>410</v>
      </c>
      <c r="C113" s="118">
        <v>4000</v>
      </c>
      <c r="D113" s="118">
        <v>7600</v>
      </c>
      <c r="E113" s="118">
        <v>643</v>
      </c>
      <c r="F113" s="109" t="s">
        <v>301</v>
      </c>
      <c r="G113" s="121">
        <v>0</v>
      </c>
      <c r="I113" s="121">
        <v>0</v>
      </c>
      <c r="J113" s="112"/>
      <c r="K113" s="121">
        <v>0</v>
      </c>
      <c r="L113" s="111"/>
      <c r="M113" s="121">
        <v>0</v>
      </c>
      <c r="N113" s="112"/>
      <c r="O113" s="121">
        <f t="shared" si="123"/>
        <v>0</v>
      </c>
      <c r="P113" s="121"/>
      <c r="Q113" s="121">
        <f t="shared" si="182"/>
        <v>0</v>
      </c>
      <c r="R113" s="121">
        <f t="shared" si="183"/>
        <v>0</v>
      </c>
      <c r="S113" s="121">
        <f t="shared" si="187"/>
        <v>0</v>
      </c>
      <c r="T113" s="58">
        <f t="shared" si="184"/>
        <v>0</v>
      </c>
      <c r="U113" s="59" t="e">
        <f t="shared" si="185"/>
        <v>#DIV/0!</v>
      </c>
      <c r="V113" s="59" t="e">
        <f t="shared" si="186"/>
        <v>#DIV/0!</v>
      </c>
      <c r="W113" s="121"/>
      <c r="X113" s="165" t="s">
        <v>270</v>
      </c>
      <c r="Y113" s="129" t="str">
        <f t="shared" si="150"/>
        <v/>
      </c>
      <c r="Z113" s="118"/>
      <c r="AA113" s="121"/>
    </row>
    <row r="114" spans="1:27" hidden="1" x14ac:dyDescent="0.25">
      <c r="A114" s="34"/>
      <c r="B114" s="118">
        <v>410</v>
      </c>
      <c r="C114" s="118">
        <v>4000</v>
      </c>
      <c r="D114" s="118">
        <v>7600</v>
      </c>
      <c r="E114" s="118">
        <v>644</v>
      </c>
      <c r="F114" s="109" t="s">
        <v>254</v>
      </c>
      <c r="G114" s="121">
        <v>0</v>
      </c>
      <c r="H114" s="111"/>
      <c r="I114" s="121">
        <v>0</v>
      </c>
      <c r="J114" s="112"/>
      <c r="K114" s="121">
        <v>0</v>
      </c>
      <c r="M114" s="121">
        <v>0</v>
      </c>
      <c r="N114" s="112"/>
      <c r="O114" s="121">
        <f t="shared" si="123"/>
        <v>0</v>
      </c>
      <c r="P114" s="121"/>
      <c r="Q114" s="121">
        <f t="shared" si="182"/>
        <v>0</v>
      </c>
      <c r="R114" s="121">
        <f t="shared" si="183"/>
        <v>0</v>
      </c>
      <c r="S114" s="121">
        <f t="shared" si="187"/>
        <v>0</v>
      </c>
      <c r="T114" s="58">
        <f t="shared" si="184"/>
        <v>0</v>
      </c>
      <c r="U114" s="59" t="e">
        <f t="shared" si="185"/>
        <v>#DIV/0!</v>
      </c>
      <c r="V114" s="59" t="e">
        <f t="shared" si="186"/>
        <v>#DIV/0!</v>
      </c>
      <c r="W114" s="121"/>
      <c r="X114" s="165" t="s">
        <v>270</v>
      </c>
      <c r="Y114" s="129" t="str">
        <f t="shared" si="150"/>
        <v/>
      </c>
      <c r="Z114" s="118"/>
      <c r="AA114" s="121"/>
    </row>
    <row r="115" spans="1:27" hidden="1" x14ac:dyDescent="0.25">
      <c r="A115" s="34"/>
      <c r="B115" s="118">
        <v>410</v>
      </c>
      <c r="C115" s="118">
        <v>4000</v>
      </c>
      <c r="D115" s="118">
        <v>7600</v>
      </c>
      <c r="E115" s="118">
        <v>652</v>
      </c>
      <c r="F115" s="109" t="s">
        <v>302</v>
      </c>
      <c r="G115" s="121">
        <v>0</v>
      </c>
      <c r="H115" s="111"/>
      <c r="I115" s="121">
        <v>0</v>
      </c>
      <c r="J115" s="112"/>
      <c r="K115" s="121">
        <v>0</v>
      </c>
      <c r="M115" s="121">
        <v>0</v>
      </c>
      <c r="N115" s="112"/>
      <c r="O115" s="121">
        <f t="shared" si="123"/>
        <v>0</v>
      </c>
      <c r="P115" s="121"/>
      <c r="Q115" s="121">
        <f t="shared" si="182"/>
        <v>0</v>
      </c>
      <c r="R115" s="121">
        <f t="shared" si="183"/>
        <v>0</v>
      </c>
      <c r="S115" s="121">
        <f t="shared" si="187"/>
        <v>0</v>
      </c>
      <c r="T115" s="58">
        <f t="shared" si="184"/>
        <v>0</v>
      </c>
      <c r="U115" s="59" t="e">
        <f t="shared" si="185"/>
        <v>#DIV/0!</v>
      </c>
      <c r="V115" s="59" t="e">
        <f t="shared" si="186"/>
        <v>#DIV/0!</v>
      </c>
      <c r="W115" s="121"/>
      <c r="X115" s="165" t="s">
        <v>270</v>
      </c>
      <c r="Y115" s="129" t="str">
        <f t="shared" si="150"/>
        <v/>
      </c>
      <c r="Z115" s="118"/>
      <c r="AA115" s="121"/>
    </row>
    <row r="116" spans="1:27" x14ac:dyDescent="0.25">
      <c r="A116" s="134"/>
      <c r="B116" s="118">
        <v>410</v>
      </c>
      <c r="C116" s="118">
        <v>4000</v>
      </c>
      <c r="D116" s="118">
        <v>7600</v>
      </c>
      <c r="E116" s="118">
        <v>730</v>
      </c>
      <c r="F116" s="109" t="s">
        <v>256</v>
      </c>
      <c r="G116" s="121"/>
      <c r="H116" s="111"/>
      <c r="I116" s="121">
        <v>0</v>
      </c>
      <c r="J116" s="112"/>
      <c r="K116" s="121"/>
      <c r="L116" s="111"/>
      <c r="M116" s="121">
        <v>1055</v>
      </c>
      <c r="N116" s="112"/>
      <c r="O116" s="121">
        <f t="shared" si="123"/>
        <v>1055</v>
      </c>
      <c r="P116" s="121"/>
      <c r="Q116" s="121">
        <f t="shared" si="182"/>
        <v>1065.55</v>
      </c>
      <c r="R116" s="121">
        <f t="shared" si="183"/>
        <v>0</v>
      </c>
      <c r="S116" s="121">
        <f t="shared" si="187"/>
        <v>1065.55</v>
      </c>
      <c r="T116" s="58">
        <f t="shared" si="184"/>
        <v>0</v>
      </c>
      <c r="U116" s="59">
        <f t="shared" si="185"/>
        <v>0</v>
      </c>
      <c r="V116" s="59">
        <f t="shared" si="186"/>
        <v>1</v>
      </c>
      <c r="W116" s="121"/>
      <c r="X116" s="165" t="s">
        <v>270</v>
      </c>
      <c r="Y116" s="129" t="str">
        <f t="shared" si="150"/>
        <v>*</v>
      </c>
      <c r="Z116" s="118"/>
      <c r="AA116" s="121"/>
    </row>
    <row r="117" spans="1:27" hidden="1" x14ac:dyDescent="0.25">
      <c r="A117" s="134"/>
      <c r="B117" s="118">
        <v>100</v>
      </c>
      <c r="C117" s="118">
        <v>4000</v>
      </c>
      <c r="D117" s="118">
        <v>7800</v>
      </c>
      <c r="E117" s="118">
        <v>310</v>
      </c>
      <c r="F117" s="109" t="s">
        <v>303</v>
      </c>
      <c r="G117" s="121">
        <v>0</v>
      </c>
      <c r="I117" s="121">
        <v>0</v>
      </c>
      <c r="J117" s="112"/>
      <c r="K117" s="121">
        <v>0</v>
      </c>
      <c r="M117" s="121">
        <v>0</v>
      </c>
      <c r="N117" s="112"/>
      <c r="O117" s="121">
        <f t="shared" si="123"/>
        <v>0</v>
      </c>
      <c r="P117" s="121"/>
      <c r="Q117" s="121">
        <f t="shared" si="146"/>
        <v>0</v>
      </c>
      <c r="R117" s="121">
        <v>0</v>
      </c>
      <c r="S117" s="121">
        <v>0</v>
      </c>
      <c r="T117" s="121">
        <f t="shared" ref="T117:T119" si="188">Q117-R117-S117</f>
        <v>0</v>
      </c>
      <c r="U117" s="167" t="e">
        <f t="shared" ref="U117:U119" si="189">+R117/Q117</f>
        <v>#DIV/0!</v>
      </c>
      <c r="V117" s="167" t="e">
        <f t="shared" ref="V117:V119" si="190">+S117/Q117</f>
        <v>#DIV/0!</v>
      </c>
      <c r="W117" s="121"/>
      <c r="X117" s="165" t="s">
        <v>347</v>
      </c>
      <c r="Y117" s="129" t="str">
        <f t="shared" si="150"/>
        <v/>
      </c>
      <c r="Z117" s="118"/>
      <c r="AA117" s="121"/>
    </row>
    <row r="118" spans="1:27" x14ac:dyDescent="0.25">
      <c r="A118" s="134"/>
      <c r="B118" s="118">
        <v>100</v>
      </c>
      <c r="C118" s="118">
        <v>4000</v>
      </c>
      <c r="D118" s="118">
        <v>7900</v>
      </c>
      <c r="E118" s="118">
        <v>310</v>
      </c>
      <c r="F118" s="109" t="s">
        <v>235</v>
      </c>
      <c r="G118" s="121">
        <v>0</v>
      </c>
      <c r="I118" s="121">
        <v>825</v>
      </c>
      <c r="J118" s="112"/>
      <c r="K118" s="121">
        <v>0</v>
      </c>
      <c r="M118" s="121">
        <v>0</v>
      </c>
      <c r="N118" s="112"/>
      <c r="O118" s="121">
        <f t="shared" si="123"/>
        <v>825</v>
      </c>
      <c r="P118" s="121"/>
      <c r="Q118" s="121">
        <f t="shared" ref="Q118" si="191">SUBTOTAL(9,R118:S118)</f>
        <v>833.25</v>
      </c>
      <c r="R118" s="121">
        <f t="shared" ref="R118" si="192">+I118*Inf</f>
        <v>833.25</v>
      </c>
      <c r="S118" s="121">
        <f t="shared" ref="S118" si="193">+M118*Inf</f>
        <v>0</v>
      </c>
      <c r="T118" s="58">
        <f t="shared" ref="T118" si="194">Q118-R118-S118</f>
        <v>0</v>
      </c>
      <c r="U118" s="59">
        <f t="shared" ref="U118" si="195">+R118/Q118</f>
        <v>1</v>
      </c>
      <c r="V118" s="59">
        <f t="shared" ref="V118" si="196">+S118/Q118</f>
        <v>0</v>
      </c>
      <c r="W118" s="58"/>
      <c r="X118" s="165" t="s">
        <v>270</v>
      </c>
      <c r="Y118" s="129" t="str">
        <f t="shared" si="150"/>
        <v>*</v>
      </c>
      <c r="Z118" s="118"/>
      <c r="AA118" s="121"/>
    </row>
    <row r="119" spans="1:27" hidden="1" x14ac:dyDescent="0.25">
      <c r="A119" s="134"/>
      <c r="B119" s="108">
        <v>495</v>
      </c>
      <c r="C119" s="108">
        <v>4000</v>
      </c>
      <c r="D119" s="108">
        <v>7900</v>
      </c>
      <c r="E119" s="108">
        <v>310</v>
      </c>
      <c r="F119" s="109" t="s">
        <v>235</v>
      </c>
      <c r="G119" s="112"/>
      <c r="I119" s="121">
        <v>0</v>
      </c>
      <c r="J119" s="112"/>
      <c r="K119" s="121">
        <v>0</v>
      </c>
      <c r="M119" s="121">
        <v>0</v>
      </c>
      <c r="N119" s="112"/>
      <c r="O119" s="121">
        <f t="shared" si="123"/>
        <v>0</v>
      </c>
      <c r="P119" s="121"/>
      <c r="Q119" s="121">
        <f t="shared" si="146"/>
        <v>0</v>
      </c>
      <c r="R119" s="121">
        <v>0</v>
      </c>
      <c r="S119" s="121">
        <v>0</v>
      </c>
      <c r="T119" s="121">
        <f t="shared" si="188"/>
        <v>0</v>
      </c>
      <c r="U119" s="167" t="e">
        <f t="shared" si="189"/>
        <v>#DIV/0!</v>
      </c>
      <c r="V119" s="167" t="e">
        <f t="shared" si="190"/>
        <v>#DIV/0!</v>
      </c>
      <c r="W119" s="121"/>
      <c r="X119" s="165" t="s">
        <v>339</v>
      </c>
      <c r="Y119" s="129" t="str">
        <f t="shared" si="150"/>
        <v/>
      </c>
      <c r="Z119" s="118"/>
      <c r="AA119" s="121"/>
    </row>
    <row r="120" spans="1:27" s="1" customFormat="1" x14ac:dyDescent="0.25">
      <c r="A120" s="134"/>
      <c r="B120" s="108">
        <v>100</v>
      </c>
      <c r="C120" s="108">
        <v>4000</v>
      </c>
      <c r="D120" s="108">
        <v>7900</v>
      </c>
      <c r="E120" s="108">
        <v>311</v>
      </c>
      <c r="F120" s="109" t="s">
        <v>304</v>
      </c>
      <c r="G120" s="121">
        <v>0</v>
      </c>
      <c r="H120" s="110"/>
      <c r="I120" s="121">
        <v>34012.46</v>
      </c>
      <c r="J120" s="112"/>
      <c r="K120" s="121">
        <v>0</v>
      </c>
      <c r="L120" s="111"/>
      <c r="M120" s="121">
        <v>28395.739999999994</v>
      </c>
      <c r="N120" s="112"/>
      <c r="O120" s="121">
        <f t="shared" si="123"/>
        <v>62408.2</v>
      </c>
      <c r="P120" s="121"/>
      <c r="Q120" s="121">
        <f t="shared" ref="Q120:Q123" si="197">SUBTOTAL(9,R120:S120)</f>
        <v>63032.271900000007</v>
      </c>
      <c r="R120" s="121">
        <f>(62408.19*55%)*Inf</f>
        <v>34667.749545000006</v>
      </c>
      <c r="S120" s="121">
        <f>(62408.19)*45%*Inf</f>
        <v>28364.522355000005</v>
      </c>
      <c r="T120" s="58">
        <f t="shared" ref="T120:T123" si="198">Q120-R120-S120</f>
        <v>0</v>
      </c>
      <c r="U120" s="59">
        <f t="shared" ref="U120:U123" si="199">+R120/Q120</f>
        <v>0.55000000000000004</v>
      </c>
      <c r="V120" s="59">
        <f t="shared" ref="V120:V123" si="200">+S120/Q120</f>
        <v>0.45</v>
      </c>
      <c r="W120" s="121"/>
      <c r="X120" s="165" t="s">
        <v>421</v>
      </c>
      <c r="Y120" s="129" t="str">
        <f t="shared" si="150"/>
        <v>*</v>
      </c>
      <c r="Z120" s="118"/>
      <c r="AA120" s="121"/>
    </row>
    <row r="121" spans="1:27" s="1" customFormat="1" x14ac:dyDescent="0.25">
      <c r="A121" s="134"/>
      <c r="B121" s="108">
        <v>100</v>
      </c>
      <c r="C121" s="108">
        <v>4000</v>
      </c>
      <c r="D121" s="108">
        <v>7900</v>
      </c>
      <c r="E121" s="108">
        <v>320</v>
      </c>
      <c r="F121" s="109" t="s">
        <v>305</v>
      </c>
      <c r="G121" s="112"/>
      <c r="H121" s="110"/>
      <c r="I121" s="121">
        <v>35757.75</v>
      </c>
      <c r="J121" s="121"/>
      <c r="K121" s="121"/>
      <c r="L121" s="121"/>
      <c r="M121" s="121">
        <v>26324.61</v>
      </c>
      <c r="N121" s="112"/>
      <c r="O121" s="121">
        <f t="shared" si="123"/>
        <v>62082.36</v>
      </c>
      <c r="P121" s="121"/>
      <c r="Q121" s="121">
        <f>SUBTOTAL(9,R121:S121)</f>
        <v>77924.716800000009</v>
      </c>
      <c r="R121" s="121">
        <f>(60720.26+28807+577.25+2663.01)*45%*105%</f>
        <v>43832.653200000008</v>
      </c>
      <c r="S121" s="121">
        <f>(60720.26+28807+577.25+2663.01)*35%*105%</f>
        <v>34092.063600000001</v>
      </c>
      <c r="T121" s="58">
        <f t="shared" si="198"/>
        <v>0</v>
      </c>
      <c r="U121" s="59">
        <f t="shared" si="199"/>
        <v>0.5625</v>
      </c>
      <c r="V121" s="59">
        <f t="shared" si="200"/>
        <v>0.43749999999999994</v>
      </c>
      <c r="W121" s="121"/>
      <c r="X121" s="165" t="s">
        <v>422</v>
      </c>
      <c r="Y121" s="129" t="str">
        <f t="shared" si="150"/>
        <v>*</v>
      </c>
      <c r="Z121" s="118"/>
      <c r="AA121" s="121"/>
    </row>
    <row r="122" spans="1:27" s="129" customFormat="1" x14ac:dyDescent="0.25">
      <c r="A122" s="134"/>
      <c r="B122" s="108">
        <v>360</v>
      </c>
      <c r="C122" s="108">
        <v>4000</v>
      </c>
      <c r="D122" s="108">
        <v>7900</v>
      </c>
      <c r="E122" s="108">
        <v>320</v>
      </c>
      <c r="F122" s="109" t="s">
        <v>305</v>
      </c>
      <c r="G122" s="112"/>
      <c r="H122" s="110"/>
      <c r="I122" s="121">
        <v>5987.25</v>
      </c>
      <c r="J122" s="121"/>
      <c r="K122" s="121"/>
      <c r="L122" s="121"/>
      <c r="M122" s="121">
        <v>6144.3899999999994</v>
      </c>
      <c r="N122" s="112"/>
      <c r="O122" s="121">
        <f t="shared" ref="O122" si="201">I122+M122</f>
        <v>12131.64</v>
      </c>
      <c r="P122" s="121"/>
      <c r="Q122" s="121">
        <f t="shared" ref="Q122" si="202">SUBTOTAL(9,R122:S122)</f>
        <v>0</v>
      </c>
      <c r="R122" s="121">
        <f>+'Revenue Input'!P41-'Expense Input'!R141-'Expense Input'!R143</f>
        <v>0</v>
      </c>
      <c r="S122" s="121">
        <v>0</v>
      </c>
      <c r="T122" s="58">
        <f t="shared" ref="T122" si="203">Q122-R122-S122</f>
        <v>0</v>
      </c>
      <c r="U122" s="59" t="e">
        <f t="shared" ref="U122" si="204">+R122/Q122</f>
        <v>#DIV/0!</v>
      </c>
      <c r="V122" s="59" t="e">
        <f t="shared" ref="V122" si="205">+S122/Q122</f>
        <v>#DIV/0!</v>
      </c>
      <c r="W122" s="121"/>
      <c r="X122" s="165" t="s">
        <v>349</v>
      </c>
      <c r="Y122" s="129" t="str">
        <f t="shared" ref="Y122" si="206">IF((Q122+O122)&gt;0.49,"*","")</f>
        <v>*</v>
      </c>
      <c r="Z122" s="118"/>
      <c r="AA122" s="121"/>
    </row>
    <row r="123" spans="1:27" s="1" customFormat="1" x14ac:dyDescent="0.25">
      <c r="A123" s="134"/>
      <c r="B123" s="108">
        <v>100</v>
      </c>
      <c r="C123" s="108">
        <v>4000</v>
      </c>
      <c r="D123" s="108">
        <v>7900</v>
      </c>
      <c r="E123" s="108">
        <v>351</v>
      </c>
      <c r="F123" s="109" t="s">
        <v>306</v>
      </c>
      <c r="G123" s="122"/>
      <c r="H123" s="129"/>
      <c r="I123" s="121">
        <v>27235.799999999992</v>
      </c>
      <c r="J123" s="112"/>
      <c r="K123" s="121">
        <v>0</v>
      </c>
      <c r="L123" s="110"/>
      <c r="M123" s="121">
        <v>29198.128571428573</v>
      </c>
      <c r="N123" s="122"/>
      <c r="O123" s="121">
        <f t="shared" si="123"/>
        <v>56433.928571428565</v>
      </c>
      <c r="P123" s="58"/>
      <c r="Q123" s="121">
        <f t="shared" si="197"/>
        <v>56998.267857142855</v>
      </c>
      <c r="R123" s="121">
        <f t="shared" ref="R123" si="207">+I123*Inf</f>
        <v>27508.157999999992</v>
      </c>
      <c r="S123" s="121">
        <f t="shared" ref="S123" si="208">+M123*Inf</f>
        <v>29490.109857142859</v>
      </c>
      <c r="T123" s="58">
        <f t="shared" si="198"/>
        <v>0</v>
      </c>
      <c r="U123" s="59">
        <f t="shared" si="199"/>
        <v>0.48261392905736783</v>
      </c>
      <c r="V123" s="59">
        <f t="shared" si="200"/>
        <v>0.51738607094263211</v>
      </c>
      <c r="W123" s="58"/>
      <c r="X123" s="165" t="s">
        <v>270</v>
      </c>
      <c r="Y123" s="129" t="str">
        <f t="shared" si="150"/>
        <v>*</v>
      </c>
      <c r="Z123" s="118"/>
      <c r="AA123" s="121"/>
    </row>
    <row r="124" spans="1:27" hidden="1" x14ac:dyDescent="0.25">
      <c r="A124" s="134"/>
      <c r="B124" s="108">
        <v>100</v>
      </c>
      <c r="C124" s="108">
        <v>4000</v>
      </c>
      <c r="D124" s="108">
        <v>7900</v>
      </c>
      <c r="E124" s="108">
        <v>360</v>
      </c>
      <c r="F124" s="109" t="s">
        <v>307</v>
      </c>
      <c r="G124" s="122"/>
      <c r="I124" s="121">
        <v>0</v>
      </c>
      <c r="J124" s="121"/>
      <c r="K124" s="121"/>
      <c r="L124" s="121"/>
      <c r="M124" s="121">
        <v>0</v>
      </c>
      <c r="N124" s="112"/>
      <c r="O124" s="121">
        <f t="shared" si="123"/>
        <v>0</v>
      </c>
      <c r="P124" s="121"/>
      <c r="Q124" s="121">
        <f t="shared" ref="Q124" si="209">SUBTOTAL(9,R124:S124)</f>
        <v>0</v>
      </c>
      <c r="R124" s="121">
        <v>0</v>
      </c>
      <c r="S124" s="121">
        <v>0</v>
      </c>
      <c r="T124" s="121">
        <f t="shared" ref="T124" si="210">Q124-R124-S124</f>
        <v>0</v>
      </c>
      <c r="U124" s="167" t="e">
        <f t="shared" ref="U124" si="211">+R124/Q124</f>
        <v>#DIV/0!</v>
      </c>
      <c r="V124" s="167" t="e">
        <f t="shared" ref="V124" si="212">+S124/Q124</f>
        <v>#DIV/0!</v>
      </c>
      <c r="W124" s="121"/>
      <c r="X124" s="165" t="s">
        <v>32</v>
      </c>
      <c r="Y124" s="129" t="str">
        <f t="shared" si="150"/>
        <v/>
      </c>
      <c r="Z124" s="118"/>
      <c r="AA124" s="121"/>
    </row>
    <row r="125" spans="1:27" x14ac:dyDescent="0.25">
      <c r="A125" s="134"/>
      <c r="B125" s="108">
        <v>495</v>
      </c>
      <c r="C125" s="108">
        <v>4000</v>
      </c>
      <c r="D125" s="108">
        <v>7900</v>
      </c>
      <c r="E125" s="108">
        <v>360</v>
      </c>
      <c r="F125" s="109" t="s">
        <v>308</v>
      </c>
      <c r="G125" s="122"/>
      <c r="I125" s="121">
        <v>0</v>
      </c>
      <c r="J125" s="121"/>
      <c r="K125" s="121"/>
      <c r="L125" s="121"/>
      <c r="M125" s="121">
        <v>218948.84000000005</v>
      </c>
      <c r="N125" s="112"/>
      <c r="O125" s="121">
        <f t="shared" si="123"/>
        <v>218948.84000000005</v>
      </c>
      <c r="P125" s="121"/>
      <c r="Q125" s="121">
        <f t="shared" ref="Q125" si="213">SUBTOTAL(9,R125:S125)</f>
        <v>0</v>
      </c>
      <c r="R125" s="121">
        <v>0</v>
      </c>
      <c r="S125" s="121">
        <v>0</v>
      </c>
      <c r="T125" s="121">
        <f t="shared" ref="T125" si="214">Q125-R125-S125</f>
        <v>0</v>
      </c>
      <c r="U125" s="167" t="e">
        <f t="shared" ref="U125" si="215">+R125/Q125</f>
        <v>#DIV/0!</v>
      </c>
      <c r="V125" s="167" t="e">
        <f t="shared" ref="V125" si="216">+S125/Q125</f>
        <v>#DIV/0!</v>
      </c>
      <c r="W125" s="121"/>
      <c r="X125" s="165" t="s">
        <v>32</v>
      </c>
      <c r="Y125" s="129" t="str">
        <f t="shared" si="150"/>
        <v>*</v>
      </c>
      <c r="Z125" s="118"/>
      <c r="AA125" s="121"/>
    </row>
    <row r="126" spans="1:27" x14ac:dyDescent="0.25">
      <c r="A126" s="134"/>
      <c r="B126" s="108">
        <v>100</v>
      </c>
      <c r="C126" s="108">
        <v>4000</v>
      </c>
      <c r="D126" s="108">
        <v>7900</v>
      </c>
      <c r="E126" s="108">
        <v>379</v>
      </c>
      <c r="F126" s="109" t="s">
        <v>309</v>
      </c>
      <c r="G126" s="122"/>
      <c r="I126" s="121">
        <v>9576.0933333333323</v>
      </c>
      <c r="J126" s="121"/>
      <c r="K126" s="121"/>
      <c r="L126" s="121"/>
      <c r="M126" s="121">
        <v>9001.6933333333309</v>
      </c>
      <c r="N126" s="112"/>
      <c r="O126" s="121">
        <f t="shared" si="123"/>
        <v>18577.786666666663</v>
      </c>
      <c r="P126" s="121"/>
      <c r="Q126" s="121">
        <f t="shared" ref="Q126:Q127" si="217">SUBTOTAL(9,R126:S126)</f>
        <v>9381.7822666666652</v>
      </c>
      <c r="R126" s="121">
        <f>(O126)*Inf*55%*50%</f>
        <v>5159.9802466666661</v>
      </c>
      <c r="S126" s="121">
        <f>(O126*Inf)*45%*50%</f>
        <v>4221.8020199999992</v>
      </c>
      <c r="T126" s="58">
        <f t="shared" ref="T126" si="218">Q126-R126-S126</f>
        <v>0</v>
      </c>
      <c r="U126" s="59">
        <f t="shared" ref="U126" si="219">+R126/Q126</f>
        <v>0.55000000000000004</v>
      </c>
      <c r="V126" s="59">
        <f t="shared" ref="V126" si="220">+S126/Q126</f>
        <v>0.44999999999999996</v>
      </c>
      <c r="W126" s="121"/>
      <c r="X126" s="165" t="s">
        <v>423</v>
      </c>
      <c r="Y126" s="129" t="str">
        <f t="shared" si="150"/>
        <v>*</v>
      </c>
      <c r="Z126" s="118"/>
      <c r="AA126" s="121"/>
    </row>
    <row r="127" spans="1:27" x14ac:dyDescent="0.25">
      <c r="A127" s="134"/>
      <c r="B127" s="108">
        <v>100</v>
      </c>
      <c r="C127" s="108">
        <v>4000</v>
      </c>
      <c r="D127" s="108">
        <v>7900</v>
      </c>
      <c r="E127" s="108">
        <v>380</v>
      </c>
      <c r="F127" s="109" t="s">
        <v>310</v>
      </c>
      <c r="G127" s="179"/>
      <c r="I127" s="121">
        <v>12032.493333333334</v>
      </c>
      <c r="J127" s="117"/>
      <c r="K127" s="117"/>
      <c r="L127" s="121"/>
      <c r="M127" s="121">
        <v>10217.600000000002</v>
      </c>
      <c r="N127" s="112"/>
      <c r="O127" s="121">
        <f t="shared" si="123"/>
        <v>22250.093333333338</v>
      </c>
      <c r="P127" s="121"/>
      <c r="Q127" s="121">
        <f t="shared" si="217"/>
        <v>23362.598000000005</v>
      </c>
      <c r="R127" s="121">
        <f>+I127*105%</f>
        <v>12634.118</v>
      </c>
      <c r="S127" s="121">
        <f>+M127*105%</f>
        <v>10728.480000000003</v>
      </c>
      <c r="T127" s="117">
        <f t="shared" ref="T127:T133" si="221">Q127-R127-S127</f>
        <v>0</v>
      </c>
      <c r="U127" s="138">
        <f t="shared" ref="U127:U133" si="222">+R127/Q127</f>
        <v>0.54078394877145075</v>
      </c>
      <c r="V127" s="138">
        <f t="shared" ref="V127:V133" si="223">+S127/Q127</f>
        <v>0.45921605122854919</v>
      </c>
      <c r="W127" s="121"/>
      <c r="X127" s="165" t="s">
        <v>424</v>
      </c>
      <c r="Y127" s="129" t="str">
        <f t="shared" si="150"/>
        <v>*</v>
      </c>
      <c r="Z127" s="118"/>
      <c r="AA127" s="121"/>
    </row>
    <row r="128" spans="1:27" x14ac:dyDescent="0.25">
      <c r="A128" s="134"/>
      <c r="B128" s="108">
        <v>100</v>
      </c>
      <c r="C128" s="108">
        <v>4000</v>
      </c>
      <c r="D128" s="108">
        <v>7900</v>
      </c>
      <c r="E128" s="108">
        <v>390</v>
      </c>
      <c r="F128" s="109" t="s">
        <v>311</v>
      </c>
      <c r="G128" s="25"/>
      <c r="H128" s="34"/>
      <c r="I128" s="121">
        <v>5363.16</v>
      </c>
      <c r="J128" s="121"/>
      <c r="K128" s="121"/>
      <c r="L128" s="121"/>
      <c r="M128" s="121">
        <v>5372.2133333333331</v>
      </c>
      <c r="N128" s="14"/>
      <c r="O128" s="121">
        <f t="shared" si="123"/>
        <v>10735.373333333333</v>
      </c>
      <c r="P128" s="121"/>
      <c r="Q128" s="121">
        <f t="shared" si="146"/>
        <v>9300</v>
      </c>
      <c r="R128" s="121">
        <f>(150*12+7500)*55%</f>
        <v>5115</v>
      </c>
      <c r="S128" s="121">
        <f>(150*12+7500)*45%</f>
        <v>4185</v>
      </c>
      <c r="T128" s="121">
        <f t="shared" si="221"/>
        <v>0</v>
      </c>
      <c r="U128" s="167">
        <f t="shared" si="222"/>
        <v>0.55000000000000004</v>
      </c>
      <c r="V128" s="167">
        <f t="shared" si="223"/>
        <v>0.45</v>
      </c>
      <c r="W128" s="121"/>
      <c r="X128" s="165" t="s">
        <v>425</v>
      </c>
      <c r="Y128" s="129" t="str">
        <f t="shared" si="150"/>
        <v>*</v>
      </c>
      <c r="Z128" s="118"/>
      <c r="AA128" s="250"/>
    </row>
    <row r="129" spans="1:27" x14ac:dyDescent="0.25">
      <c r="A129" s="134"/>
      <c r="B129" s="108">
        <v>100</v>
      </c>
      <c r="C129" s="108">
        <v>4000</v>
      </c>
      <c r="D129" s="108">
        <v>7900</v>
      </c>
      <c r="E129" s="108">
        <v>430</v>
      </c>
      <c r="F129" s="109" t="s">
        <v>295</v>
      </c>
      <c r="G129" s="218"/>
      <c r="H129" s="34"/>
      <c r="I129" s="121">
        <v>42173.666666666657</v>
      </c>
      <c r="J129" s="117"/>
      <c r="K129" s="117"/>
      <c r="L129" s="121"/>
      <c r="M129" s="121">
        <v>34505.653333333335</v>
      </c>
      <c r="N129" s="14"/>
      <c r="O129" s="121">
        <f t="shared" si="123"/>
        <v>76679.319999999992</v>
      </c>
      <c r="P129" s="121"/>
      <c r="Q129" s="121">
        <f>SUBTOTAL(9,R129:S129)</f>
        <v>93182.761599999983</v>
      </c>
      <c r="R129" s="121">
        <f>+(I129+I130)*Inf</f>
        <v>42595.403333333321</v>
      </c>
      <c r="S129" s="121">
        <f>+(M129+M130)*Inf</f>
        <v>50587.358266666663</v>
      </c>
      <c r="T129" s="117">
        <f t="shared" si="221"/>
        <v>0</v>
      </c>
      <c r="U129" s="138">
        <f t="shared" si="222"/>
        <v>0.45711677355281699</v>
      </c>
      <c r="V129" s="138">
        <f t="shared" si="223"/>
        <v>0.54288322644718301</v>
      </c>
      <c r="W129" s="121"/>
      <c r="X129" s="165" t="s">
        <v>418</v>
      </c>
      <c r="Y129" s="129" t="str">
        <f t="shared" si="150"/>
        <v>*</v>
      </c>
      <c r="Z129" s="118"/>
      <c r="AA129" s="121"/>
    </row>
    <row r="130" spans="1:27" x14ac:dyDescent="0.25">
      <c r="A130" s="134"/>
      <c r="B130" s="118">
        <v>495</v>
      </c>
      <c r="C130" s="118">
        <v>4000</v>
      </c>
      <c r="D130" s="118">
        <v>7900</v>
      </c>
      <c r="E130" s="118">
        <v>430</v>
      </c>
      <c r="F130" s="109" t="s">
        <v>295</v>
      </c>
      <c r="G130" s="25"/>
      <c r="H130" s="34"/>
      <c r="I130" s="121">
        <v>0</v>
      </c>
      <c r="J130" s="121"/>
      <c r="K130" s="121"/>
      <c r="L130" s="121"/>
      <c r="M130" s="121">
        <v>15580.84</v>
      </c>
      <c r="N130" s="14"/>
      <c r="O130" s="121">
        <f t="shared" si="123"/>
        <v>15580.84</v>
      </c>
      <c r="P130" s="121"/>
      <c r="Q130" s="121">
        <f t="shared" ref="Q130:Q131" si="224">SUBTOTAL(9,R130:S130)</f>
        <v>0</v>
      </c>
      <c r="R130" s="121">
        <f t="shared" ref="R130" si="225">+I130*Inf</f>
        <v>0</v>
      </c>
      <c r="S130" s="121">
        <v>0</v>
      </c>
      <c r="T130" s="117"/>
      <c r="U130" s="259" t="s">
        <v>35</v>
      </c>
      <c r="V130" s="138" t="e">
        <f t="shared" si="223"/>
        <v>#DIV/0!</v>
      </c>
      <c r="W130" s="121"/>
      <c r="X130" s="165" t="s">
        <v>32</v>
      </c>
      <c r="Y130" s="129" t="str">
        <f t="shared" si="150"/>
        <v>*</v>
      </c>
      <c r="Z130" s="118"/>
      <c r="AA130" s="121"/>
    </row>
    <row r="131" spans="1:27" x14ac:dyDescent="0.25">
      <c r="A131" s="134"/>
      <c r="B131" s="108">
        <v>100</v>
      </c>
      <c r="C131" s="108">
        <v>4000</v>
      </c>
      <c r="D131" s="108">
        <v>7900</v>
      </c>
      <c r="E131" s="108">
        <v>510</v>
      </c>
      <c r="F131" s="109" t="s">
        <v>312</v>
      </c>
      <c r="G131" s="25"/>
      <c r="H131" s="34"/>
      <c r="I131" s="121">
        <v>7312.6666666666661</v>
      </c>
      <c r="J131" s="121"/>
      <c r="K131" s="121"/>
      <c r="L131" s="121"/>
      <c r="M131" s="121">
        <v>10423.906666666666</v>
      </c>
      <c r="N131" s="14"/>
      <c r="O131" s="121">
        <f t="shared" si="123"/>
        <v>17736.573333333334</v>
      </c>
      <c r="P131" s="121"/>
      <c r="Q131" s="121">
        <f t="shared" si="224"/>
        <v>18748.007166666663</v>
      </c>
      <c r="R131" s="121">
        <f>+(I131+I132)*Inf</f>
        <v>7385.7933333333331</v>
      </c>
      <c r="S131" s="121">
        <f>+(M131+M132)*Inf</f>
        <v>11362.213833333331</v>
      </c>
      <c r="T131" s="121"/>
      <c r="U131" s="165" t="s">
        <v>418</v>
      </c>
      <c r="V131" s="138">
        <f t="shared" ref="V131:V132" si="226">+S131/Q131</f>
        <v>0.60604915137513771</v>
      </c>
      <c r="W131" s="121"/>
      <c r="X131" s="165" t="s">
        <v>419</v>
      </c>
      <c r="Y131" s="129" t="str">
        <f t="shared" si="150"/>
        <v>*</v>
      </c>
      <c r="Z131" s="118"/>
      <c r="AA131" s="121"/>
    </row>
    <row r="132" spans="1:27" s="1" customFormat="1" x14ac:dyDescent="0.25">
      <c r="A132" s="134"/>
      <c r="B132" s="108">
        <v>435</v>
      </c>
      <c r="C132" s="108">
        <v>4000</v>
      </c>
      <c r="D132" s="108">
        <v>7901</v>
      </c>
      <c r="E132" s="108">
        <v>510</v>
      </c>
      <c r="F132" s="109" t="s">
        <v>273</v>
      </c>
      <c r="G132" s="25"/>
      <c r="H132" s="34"/>
      <c r="I132" s="121">
        <v>0</v>
      </c>
      <c r="J132" s="121"/>
      <c r="K132" s="121"/>
      <c r="L132" s="121"/>
      <c r="M132" s="121">
        <v>825.81</v>
      </c>
      <c r="N132" s="14"/>
      <c r="O132" s="121">
        <f t="shared" si="123"/>
        <v>825.81</v>
      </c>
      <c r="P132" s="121"/>
      <c r="Q132" s="121">
        <f t="shared" si="146"/>
        <v>0</v>
      </c>
      <c r="R132" s="121">
        <v>0</v>
      </c>
      <c r="S132" s="121">
        <v>0</v>
      </c>
      <c r="T132" s="121">
        <f t="shared" ref="T132" si="227">Q132-R132-S132</f>
        <v>0</v>
      </c>
      <c r="U132" s="167" t="e">
        <f t="shared" ref="U132" si="228">+R132/Q132</f>
        <v>#DIV/0!</v>
      </c>
      <c r="V132" s="167" t="e">
        <f t="shared" si="226"/>
        <v>#DIV/0!</v>
      </c>
      <c r="W132" s="121"/>
      <c r="X132" s="165" t="s">
        <v>332</v>
      </c>
      <c r="Y132" s="129" t="str">
        <f t="shared" si="150"/>
        <v>*</v>
      </c>
      <c r="Z132" s="118"/>
      <c r="AA132" s="121"/>
    </row>
    <row r="133" spans="1:27" hidden="1" x14ac:dyDescent="0.25">
      <c r="A133" s="134"/>
      <c r="B133" s="108">
        <v>100</v>
      </c>
      <c r="C133" s="108">
        <v>4000</v>
      </c>
      <c r="D133" s="108">
        <v>7900</v>
      </c>
      <c r="E133" s="108">
        <v>640</v>
      </c>
      <c r="F133" s="109" t="s">
        <v>313</v>
      </c>
      <c r="G133" s="25"/>
      <c r="H133" s="34"/>
      <c r="I133" s="121">
        <v>0</v>
      </c>
      <c r="J133" s="121"/>
      <c r="K133" s="121"/>
      <c r="L133" s="121"/>
      <c r="M133" s="121">
        <v>0</v>
      </c>
      <c r="N133" s="14"/>
      <c r="O133" s="121">
        <f t="shared" si="123"/>
        <v>0</v>
      </c>
      <c r="P133" s="121"/>
      <c r="Q133" s="121">
        <f t="shared" si="146"/>
        <v>0</v>
      </c>
      <c r="R133" s="121">
        <f t="shared" ref="R133" si="229">+I133*Inf</f>
        <v>0</v>
      </c>
      <c r="S133" s="121">
        <f t="shared" ref="S133" si="230">+M133*Inf</f>
        <v>0</v>
      </c>
      <c r="T133" s="58">
        <f t="shared" si="221"/>
        <v>0</v>
      </c>
      <c r="U133" s="59" t="e">
        <f t="shared" si="222"/>
        <v>#DIV/0!</v>
      </c>
      <c r="V133" s="59" t="e">
        <f t="shared" si="223"/>
        <v>#DIV/0!</v>
      </c>
      <c r="W133" s="121"/>
      <c r="X133" s="165" t="s">
        <v>270</v>
      </c>
      <c r="Y133" s="129" t="str">
        <f t="shared" si="150"/>
        <v/>
      </c>
      <c r="Z133" s="118"/>
      <c r="AA133" s="121"/>
    </row>
    <row r="134" spans="1:27" s="1" customFormat="1" hidden="1" x14ac:dyDescent="0.25">
      <c r="A134" s="134"/>
      <c r="B134" s="108">
        <v>100</v>
      </c>
      <c r="C134" s="108">
        <v>4000</v>
      </c>
      <c r="D134" s="108">
        <v>7900</v>
      </c>
      <c r="E134" s="108">
        <v>641</v>
      </c>
      <c r="F134" s="109" t="s">
        <v>314</v>
      </c>
      <c r="G134" s="25"/>
      <c r="H134" s="34"/>
      <c r="I134" s="121">
        <v>0</v>
      </c>
      <c r="J134" s="121"/>
      <c r="K134" s="121"/>
      <c r="L134" s="121"/>
      <c r="M134" s="121">
        <v>0</v>
      </c>
      <c r="N134" s="14"/>
      <c r="O134" s="121">
        <f t="shared" si="123"/>
        <v>0</v>
      </c>
      <c r="P134" s="121"/>
      <c r="Q134" s="121">
        <f t="shared" si="146"/>
        <v>0</v>
      </c>
      <c r="R134" s="121">
        <f>(O134)*Inf*55%</f>
        <v>0</v>
      </c>
      <c r="S134" s="121">
        <f>(O134*Inf)*45%</f>
        <v>0</v>
      </c>
      <c r="T134" s="58">
        <f t="shared" ref="T134:T139" si="231">Q134-R134-S134</f>
        <v>0</v>
      </c>
      <c r="U134" s="59" t="e">
        <f t="shared" ref="U134:U139" si="232">+R134/Q134</f>
        <v>#DIV/0!</v>
      </c>
      <c r="V134" s="59" t="e">
        <f t="shared" ref="V134:V139" si="233">+S134/Q134</f>
        <v>#DIV/0!</v>
      </c>
      <c r="W134" s="121"/>
      <c r="X134" s="165" t="s">
        <v>368</v>
      </c>
      <c r="Y134" s="129" t="str">
        <f t="shared" si="150"/>
        <v/>
      </c>
      <c r="Z134" s="118"/>
      <c r="AA134" s="121"/>
    </row>
    <row r="135" spans="1:27" s="1" customFormat="1" x14ac:dyDescent="0.25">
      <c r="A135" s="134"/>
      <c r="B135" s="36">
        <v>100</v>
      </c>
      <c r="C135" s="36">
        <v>4000</v>
      </c>
      <c r="D135" s="36">
        <v>7900</v>
      </c>
      <c r="E135" s="36">
        <v>642</v>
      </c>
      <c r="F135" s="109" t="s">
        <v>315</v>
      </c>
      <c r="G135" s="25"/>
      <c r="H135" s="134"/>
      <c r="I135" s="121">
        <v>199</v>
      </c>
      <c r="J135" s="121"/>
      <c r="K135" s="121"/>
      <c r="L135" s="121"/>
      <c r="M135" s="121">
        <v>341</v>
      </c>
      <c r="N135" s="14"/>
      <c r="O135" s="121">
        <f t="shared" si="123"/>
        <v>540</v>
      </c>
      <c r="P135" s="58"/>
      <c r="Q135" s="121">
        <f t="shared" si="146"/>
        <v>545.40000000000009</v>
      </c>
      <c r="R135" s="121">
        <f>(O135)*Inf*55%</f>
        <v>299.97000000000003</v>
      </c>
      <c r="S135" s="121">
        <f>(O135*Inf)*45%</f>
        <v>245.43</v>
      </c>
      <c r="T135" s="58">
        <f t="shared" si="231"/>
        <v>0</v>
      </c>
      <c r="U135" s="59">
        <f t="shared" si="232"/>
        <v>0.54999999999999993</v>
      </c>
      <c r="V135" s="59">
        <f t="shared" si="233"/>
        <v>0.44999999999999996</v>
      </c>
      <c r="W135" s="58"/>
      <c r="X135" s="165" t="s">
        <v>368</v>
      </c>
      <c r="Y135" s="129" t="str">
        <f t="shared" si="150"/>
        <v>*</v>
      </c>
      <c r="Z135" s="118"/>
      <c r="AA135" s="121"/>
    </row>
    <row r="136" spans="1:27" s="1" customFormat="1" hidden="1" x14ac:dyDescent="0.25">
      <c r="A136" s="134"/>
      <c r="B136" s="108">
        <v>100</v>
      </c>
      <c r="C136" s="108">
        <v>4000</v>
      </c>
      <c r="D136" s="108">
        <v>7900</v>
      </c>
      <c r="E136" s="108">
        <v>750</v>
      </c>
      <c r="F136" s="109" t="s">
        <v>316</v>
      </c>
      <c r="G136" s="25"/>
      <c r="H136" s="34"/>
      <c r="I136" s="121">
        <v>0</v>
      </c>
      <c r="J136" s="112"/>
      <c r="K136" s="121">
        <v>0</v>
      </c>
      <c r="L136" s="110"/>
      <c r="M136" s="121">
        <v>0</v>
      </c>
      <c r="N136" s="14"/>
      <c r="O136" s="121">
        <f t="shared" si="123"/>
        <v>0</v>
      </c>
      <c r="P136" s="121"/>
      <c r="Q136" s="121">
        <f t="shared" si="146"/>
        <v>0</v>
      </c>
      <c r="R136" s="121">
        <f t="shared" ref="R136:R139" si="234">+I136*Inf</f>
        <v>0</v>
      </c>
      <c r="S136" s="121">
        <f t="shared" ref="S136:S139" si="235">+M136*Inf</f>
        <v>0</v>
      </c>
      <c r="T136" s="58">
        <f t="shared" si="231"/>
        <v>0</v>
      </c>
      <c r="U136" s="59" t="e">
        <f t="shared" si="232"/>
        <v>#DIV/0!</v>
      </c>
      <c r="V136" s="59" t="e">
        <f t="shared" si="233"/>
        <v>#DIV/0!</v>
      </c>
      <c r="W136" s="58"/>
      <c r="X136" s="165" t="s">
        <v>270</v>
      </c>
      <c r="Y136" s="129" t="str">
        <f t="shared" si="150"/>
        <v/>
      </c>
      <c r="Z136" s="118"/>
      <c r="AA136" s="121"/>
    </row>
    <row r="137" spans="1:27" s="1" customFormat="1" x14ac:dyDescent="0.25">
      <c r="A137" s="134"/>
      <c r="B137" s="108">
        <v>100</v>
      </c>
      <c r="C137" s="108">
        <v>4000</v>
      </c>
      <c r="D137" s="108">
        <v>8100</v>
      </c>
      <c r="E137" s="108">
        <v>350</v>
      </c>
      <c r="F137" s="109" t="s">
        <v>293</v>
      </c>
      <c r="G137" s="25"/>
      <c r="H137" s="34"/>
      <c r="I137" s="121">
        <v>24360.186666666661</v>
      </c>
      <c r="J137" s="121"/>
      <c r="K137" s="121"/>
      <c r="L137" s="121"/>
      <c r="M137" s="121">
        <v>22240.432500000003</v>
      </c>
      <c r="N137" s="14"/>
      <c r="O137" s="121">
        <f t="shared" si="123"/>
        <v>46600.619166666664</v>
      </c>
      <c r="P137" s="121"/>
      <c r="Q137" s="121">
        <f t="shared" si="146"/>
        <v>47066.625358333331</v>
      </c>
      <c r="R137" s="121">
        <f>(O137)*Inf*55%</f>
        <v>25886.643947083336</v>
      </c>
      <c r="S137" s="121">
        <f>(O137*Inf)*45%</f>
        <v>21179.981411249999</v>
      </c>
      <c r="T137" s="58">
        <f t="shared" si="231"/>
        <v>0</v>
      </c>
      <c r="U137" s="59">
        <f t="shared" si="232"/>
        <v>0.55000000000000004</v>
      </c>
      <c r="V137" s="59">
        <f t="shared" si="233"/>
        <v>0.45</v>
      </c>
      <c r="W137" s="58"/>
      <c r="X137" s="165" t="s">
        <v>368</v>
      </c>
      <c r="Y137" s="129" t="str">
        <f t="shared" si="150"/>
        <v>*</v>
      </c>
      <c r="Z137" s="118"/>
      <c r="AA137" s="121"/>
    </row>
    <row r="138" spans="1:27" s="1" customFormat="1" x14ac:dyDescent="0.25">
      <c r="A138" s="134"/>
      <c r="B138" s="108">
        <v>100</v>
      </c>
      <c r="C138" s="108">
        <v>4000</v>
      </c>
      <c r="D138" s="108">
        <v>9100</v>
      </c>
      <c r="E138" s="108">
        <v>510</v>
      </c>
      <c r="F138" s="109" t="s">
        <v>317</v>
      </c>
      <c r="G138" s="25"/>
      <c r="H138" s="34"/>
      <c r="I138" s="121">
        <v>499.65000000000009</v>
      </c>
      <c r="J138" s="121"/>
      <c r="K138" s="121"/>
      <c r="L138" s="121"/>
      <c r="M138" s="121">
        <v>0</v>
      </c>
      <c r="N138" s="14"/>
      <c r="O138" s="121">
        <f t="shared" ref="O138:O143" si="236">I138+M138</f>
        <v>499.65000000000009</v>
      </c>
      <c r="P138" s="121"/>
      <c r="Q138" s="121">
        <f t="shared" si="146"/>
        <v>504.64650000000012</v>
      </c>
      <c r="R138" s="121">
        <f t="shared" si="234"/>
        <v>504.64650000000012</v>
      </c>
      <c r="S138" s="121">
        <v>0</v>
      </c>
      <c r="T138" s="58">
        <f t="shared" si="231"/>
        <v>0</v>
      </c>
      <c r="U138" s="59">
        <f t="shared" si="232"/>
        <v>1</v>
      </c>
      <c r="V138" s="59">
        <f t="shared" si="233"/>
        <v>0</v>
      </c>
      <c r="W138" s="58"/>
      <c r="X138" s="165" t="s">
        <v>270</v>
      </c>
      <c r="Y138" s="129" t="str">
        <f t="shared" si="150"/>
        <v>*</v>
      </c>
      <c r="Z138" s="118"/>
      <c r="AA138" s="121"/>
    </row>
    <row r="139" spans="1:27" hidden="1" x14ac:dyDescent="0.25">
      <c r="A139" s="34"/>
      <c r="B139" s="108">
        <v>100</v>
      </c>
      <c r="C139" s="108">
        <v>4000</v>
      </c>
      <c r="D139" s="108">
        <v>9100</v>
      </c>
      <c r="E139" s="108">
        <v>705</v>
      </c>
      <c r="F139" s="109" t="s">
        <v>318</v>
      </c>
      <c r="G139" s="25"/>
      <c r="H139" s="34"/>
      <c r="I139" s="121">
        <v>0</v>
      </c>
      <c r="J139" s="121"/>
      <c r="K139" s="121"/>
      <c r="L139" s="121"/>
      <c r="M139" s="121">
        <v>0</v>
      </c>
      <c r="N139" s="14"/>
      <c r="O139" s="121">
        <f t="shared" si="236"/>
        <v>0</v>
      </c>
      <c r="P139" s="121"/>
      <c r="Q139" s="121">
        <f t="shared" si="146"/>
        <v>0</v>
      </c>
      <c r="R139" s="121">
        <f t="shared" si="234"/>
        <v>0</v>
      </c>
      <c r="S139" s="121">
        <f t="shared" si="235"/>
        <v>0</v>
      </c>
      <c r="T139" s="58">
        <f t="shared" si="231"/>
        <v>0</v>
      </c>
      <c r="U139" s="59" t="e">
        <f t="shared" si="232"/>
        <v>#DIV/0!</v>
      </c>
      <c r="V139" s="59" t="e">
        <f t="shared" si="233"/>
        <v>#DIV/0!</v>
      </c>
      <c r="W139" s="58"/>
      <c r="X139" s="165" t="s">
        <v>270</v>
      </c>
      <c r="Y139" s="129" t="str">
        <f t="shared" si="150"/>
        <v/>
      </c>
      <c r="Z139" s="118"/>
      <c r="AA139" s="121"/>
    </row>
    <row r="140" spans="1:27" x14ac:dyDescent="0.25">
      <c r="A140" s="34"/>
      <c r="B140" s="108">
        <v>100</v>
      </c>
      <c r="C140" s="108">
        <v>4000</v>
      </c>
      <c r="D140" s="108">
        <v>9200</v>
      </c>
      <c r="E140" s="108">
        <v>710</v>
      </c>
      <c r="F140" s="109" t="s">
        <v>319</v>
      </c>
      <c r="G140" s="25"/>
      <c r="H140" s="34"/>
      <c r="I140" s="121">
        <v>-0.40749999999752617</v>
      </c>
      <c r="J140" s="121"/>
      <c r="K140" s="121"/>
      <c r="L140" s="121"/>
      <c r="M140" s="121">
        <v>4666.8874999999889</v>
      </c>
      <c r="N140" s="14"/>
      <c r="O140" s="121">
        <f t="shared" si="236"/>
        <v>4666.4799999999914</v>
      </c>
      <c r="P140" s="121"/>
      <c r="Q140" s="121">
        <f t="shared" si="146"/>
        <v>70836.540000000008</v>
      </c>
      <c r="R140" s="121">
        <f>((16218.19+15629.57+15700.49+16427.01+15846.29+16568.74+15993.39+16711.74+17428.46+16220.9+16932.91+16371.35)*55%)-R141</f>
        <v>36951.972000000009</v>
      </c>
      <c r="S140" s="121">
        <f>((16218.19+15629.57+15700.49+16427.01+15846.29+16568.74+15993.39+16711.74+17428.46+16220.9+16932.91+16371.35)*45%)-S141</f>
        <v>33884.567999999999</v>
      </c>
      <c r="T140" s="121">
        <f t="shared" ref="T140:T143" si="237">Q140-R140-S140</f>
        <v>0</v>
      </c>
      <c r="U140" s="167">
        <f t="shared" ref="U140:U143" si="238">+R140/Q140</f>
        <v>0.52165128336307798</v>
      </c>
      <c r="V140" s="167">
        <f t="shared" ref="V140:V143" si="239">+S140/Q140</f>
        <v>0.47834871663692208</v>
      </c>
      <c r="W140" s="121"/>
      <c r="X140" s="165" t="s">
        <v>352</v>
      </c>
      <c r="Y140" s="129" t="str">
        <f>IF((Q140+O140)&gt;0.49,"*","")</f>
        <v>*</v>
      </c>
      <c r="Z140" s="118"/>
      <c r="AA140" s="121"/>
    </row>
    <row r="141" spans="1:27" x14ac:dyDescent="0.25">
      <c r="A141" s="34"/>
      <c r="B141" s="108">
        <v>360</v>
      </c>
      <c r="C141" s="108">
        <v>4000</v>
      </c>
      <c r="D141" s="108">
        <v>9200</v>
      </c>
      <c r="E141" s="108">
        <v>710</v>
      </c>
      <c r="F141" s="109" t="s">
        <v>320</v>
      </c>
      <c r="G141" s="25"/>
      <c r="H141" s="34"/>
      <c r="I141" s="121">
        <v>90070.93</v>
      </c>
      <c r="J141" s="121"/>
      <c r="K141" s="121"/>
      <c r="L141" s="121"/>
      <c r="M141" s="121">
        <v>69027.160000000018</v>
      </c>
      <c r="N141" s="14"/>
      <c r="O141" s="121">
        <f t="shared" si="236"/>
        <v>159098.09000000003</v>
      </c>
      <c r="P141" s="121"/>
      <c r="Q141" s="121">
        <f t="shared" si="146"/>
        <v>125212.5</v>
      </c>
      <c r="R141" s="121">
        <f>+'Revenue Input'!$P$41*45%</f>
        <v>70875</v>
      </c>
      <c r="S141" s="121">
        <f>+'Revenue Input'!$Q$41*45%</f>
        <v>54337.5</v>
      </c>
      <c r="T141" s="121">
        <f t="shared" si="237"/>
        <v>0</v>
      </c>
      <c r="U141" s="167">
        <f t="shared" si="238"/>
        <v>0.56603773584905659</v>
      </c>
      <c r="V141" s="167">
        <f t="shared" si="239"/>
        <v>0.43396226415094341</v>
      </c>
      <c r="W141" s="121"/>
      <c r="X141" s="165" t="s">
        <v>95</v>
      </c>
      <c r="Y141" s="129" t="str">
        <f t="shared" si="150"/>
        <v>*</v>
      </c>
      <c r="Z141" s="118"/>
      <c r="AA141" s="121"/>
    </row>
    <row r="142" spans="1:27" x14ac:dyDescent="0.25">
      <c r="A142" s="34"/>
      <c r="B142" s="108">
        <v>100</v>
      </c>
      <c r="C142" s="108">
        <v>4000</v>
      </c>
      <c r="D142" s="108">
        <v>9200</v>
      </c>
      <c r="E142" s="108">
        <v>720</v>
      </c>
      <c r="F142" s="109" t="s">
        <v>321</v>
      </c>
      <c r="G142" s="25"/>
      <c r="H142" s="34"/>
      <c r="I142" s="121">
        <v>30805.978500000027</v>
      </c>
      <c r="J142" s="121"/>
      <c r="K142" s="121"/>
      <c r="L142" s="121"/>
      <c r="M142" s="121">
        <v>37702.201500000003</v>
      </c>
      <c r="N142" s="14"/>
      <c r="O142" s="121">
        <f t="shared" si="236"/>
        <v>68508.180000000022</v>
      </c>
      <c r="P142" s="121"/>
      <c r="Q142" s="121">
        <f t="shared" si="146"/>
        <v>83932.500000000015</v>
      </c>
      <c r="R142" s="121">
        <f>((19866.73+20455.35+20384.43+19657.91+20238.63+19516.18+20091.53+19373.18+18656.46+19864.02+19152.01+19713.57)*55%)-R143</f>
        <v>43708.500000000015</v>
      </c>
      <c r="S142" s="121">
        <f>((19866.73+20455.35+20384.43+19657.91+20238.63+19516.18+20091.53+19373.18+18656.46+19864.02+19152.01+19713.57)*45%)-S143</f>
        <v>40224</v>
      </c>
      <c r="T142" s="121">
        <f t="shared" si="237"/>
        <v>0</v>
      </c>
      <c r="U142" s="167">
        <f t="shared" si="238"/>
        <v>0.52075775176481109</v>
      </c>
      <c r="V142" s="167">
        <f t="shared" si="239"/>
        <v>0.47924224823518891</v>
      </c>
      <c r="W142" s="121"/>
      <c r="X142" s="165" t="s">
        <v>352</v>
      </c>
      <c r="Y142" s="129" t="str">
        <f t="shared" si="150"/>
        <v>*</v>
      </c>
      <c r="Z142" s="118"/>
      <c r="AA142" s="121"/>
    </row>
    <row r="143" spans="1:27" x14ac:dyDescent="0.25">
      <c r="A143" s="34"/>
      <c r="B143" s="108">
        <v>360</v>
      </c>
      <c r="C143" s="108">
        <v>4000</v>
      </c>
      <c r="D143" s="108">
        <v>9200</v>
      </c>
      <c r="E143" s="108">
        <v>720</v>
      </c>
      <c r="F143" s="109" t="s">
        <v>322</v>
      </c>
      <c r="G143" s="25"/>
      <c r="H143" s="34"/>
      <c r="I143" s="121">
        <v>87631.819999999978</v>
      </c>
      <c r="J143" s="121"/>
      <c r="K143" s="121"/>
      <c r="L143" s="121"/>
      <c r="M143" s="121">
        <v>59201.450000000004</v>
      </c>
      <c r="N143" s="14"/>
      <c r="O143" s="121">
        <f t="shared" si="236"/>
        <v>146833.26999999999</v>
      </c>
      <c r="P143" s="121"/>
      <c r="Q143" s="121">
        <f t="shared" si="146"/>
        <v>153037.5</v>
      </c>
      <c r="R143" s="121">
        <f>+'Revenue Input'!$P$41*55%</f>
        <v>86625</v>
      </c>
      <c r="S143" s="121">
        <f>+'Revenue Input'!$Q$41*55%</f>
        <v>66412.5</v>
      </c>
      <c r="T143" s="121">
        <f t="shared" si="237"/>
        <v>0</v>
      </c>
      <c r="U143" s="167">
        <f t="shared" si="238"/>
        <v>0.56603773584905659</v>
      </c>
      <c r="V143" s="167">
        <f t="shared" si="239"/>
        <v>0.43396226415094341</v>
      </c>
      <c r="W143" s="121"/>
      <c r="X143" s="165" t="s">
        <v>95</v>
      </c>
      <c r="Y143" s="129" t="str">
        <f t="shared" si="150"/>
        <v>*</v>
      </c>
      <c r="Z143" s="118"/>
      <c r="AA143" s="121"/>
    </row>
    <row r="144" spans="1:27" x14ac:dyDescent="0.25">
      <c r="A144" s="34"/>
      <c r="B144" s="108"/>
      <c r="C144" s="108"/>
      <c r="D144" s="108"/>
      <c r="E144" s="108"/>
      <c r="F144" s="108"/>
      <c r="G144" s="25"/>
      <c r="H144" s="34"/>
      <c r="I144" s="121"/>
      <c r="J144" s="121"/>
      <c r="K144" s="121"/>
      <c r="L144" s="121"/>
      <c r="M144" s="121"/>
      <c r="N144" s="14"/>
      <c r="O144" s="121"/>
      <c r="P144" s="121"/>
      <c r="Q144" s="121"/>
      <c r="R144" s="121"/>
      <c r="S144" s="121"/>
      <c r="T144" s="121"/>
      <c r="U144" s="121"/>
      <c r="V144" s="121"/>
      <c r="W144" s="121"/>
      <c r="X144" s="165"/>
      <c r="Y144" s="129" t="s">
        <v>2</v>
      </c>
      <c r="Z144" s="118"/>
      <c r="AA144" s="121"/>
    </row>
    <row r="145" spans="1:27" x14ac:dyDescent="0.25">
      <c r="A145" s="34"/>
      <c r="B145" s="108"/>
      <c r="C145" s="108"/>
      <c r="D145" s="108"/>
      <c r="E145" s="108"/>
      <c r="F145" s="108"/>
      <c r="G145" s="121">
        <f>SUM(G11:G144)</f>
        <v>137.49</v>
      </c>
      <c r="H145" s="34"/>
      <c r="I145" s="121">
        <f>SUM(I11:I144)</f>
        <v>884806.94076496421</v>
      </c>
      <c r="J145" s="14"/>
      <c r="K145" s="121">
        <f>SUM(K11:K144)</f>
        <v>0</v>
      </c>
      <c r="L145" s="34"/>
      <c r="M145" s="121">
        <f>SUM(M11:M144)</f>
        <v>2210963.2126547624</v>
      </c>
      <c r="N145" s="14"/>
      <c r="O145" s="121">
        <f>SUM(O11:O144)</f>
        <v>3095770.1534197251</v>
      </c>
      <c r="P145" s="121"/>
      <c r="Q145" s="121">
        <f>SUM(Q11:Q144)</f>
        <v>1757344.2785844998</v>
      </c>
      <c r="R145" s="121">
        <f>SUM(R11:R144)</f>
        <v>865905.93717029854</v>
      </c>
      <c r="S145" s="121">
        <f>SUM(S11:S144)</f>
        <v>891438.34141420119</v>
      </c>
      <c r="T145" s="121"/>
      <c r="U145" s="121"/>
      <c r="V145" s="121"/>
      <c r="W145" s="121"/>
      <c r="X145" s="165"/>
      <c r="Y145" s="110" t="s">
        <v>2</v>
      </c>
      <c r="Z145" s="118"/>
      <c r="AA145" s="121"/>
    </row>
    <row r="146" spans="1:27" s="1" customFormat="1" hidden="1" x14ac:dyDescent="0.25">
      <c r="A146" s="134"/>
      <c r="B146" s="108"/>
      <c r="C146" s="108"/>
      <c r="D146" s="108"/>
      <c r="E146" s="108"/>
      <c r="F146" s="108"/>
      <c r="G146" s="25"/>
      <c r="H146" s="34"/>
      <c r="I146" s="14"/>
      <c r="J146" s="14"/>
      <c r="K146" s="25"/>
      <c r="L146" s="34"/>
      <c r="M146" s="14"/>
      <c r="N146" s="14"/>
      <c r="O146" s="121"/>
      <c r="P146" s="121"/>
      <c r="Q146" s="121"/>
      <c r="R146" s="121"/>
      <c r="S146" s="121"/>
      <c r="T146" s="121"/>
      <c r="U146" s="121"/>
      <c r="V146" s="121"/>
      <c r="W146" s="121"/>
      <c r="X146" s="165"/>
      <c r="Y146" s="129"/>
      <c r="Z146" s="118"/>
      <c r="AA146" s="121"/>
    </row>
    <row r="147" spans="1:27" s="1" customFormat="1" hidden="1" x14ac:dyDescent="0.25">
      <c r="A147" s="134"/>
      <c r="B147" s="36"/>
      <c r="C147" s="36"/>
      <c r="D147" s="36"/>
      <c r="E147" s="36"/>
      <c r="F147" s="36"/>
      <c r="G147" s="25"/>
      <c r="H147" s="134"/>
      <c r="I147" s="97"/>
      <c r="J147" s="14"/>
      <c r="K147" s="25"/>
      <c r="L147" s="134"/>
      <c r="M147" s="14"/>
      <c r="N147" s="14"/>
      <c r="O147" s="58"/>
      <c r="P147" s="58"/>
      <c r="Q147" s="58"/>
      <c r="R147" s="121"/>
      <c r="S147" s="58"/>
      <c r="T147" s="58"/>
      <c r="U147" s="58"/>
      <c r="V147" s="58"/>
      <c r="W147" s="58"/>
      <c r="X147" s="243"/>
      <c r="Y147" s="129"/>
      <c r="Z147" s="118"/>
      <c r="AA147" s="121"/>
    </row>
    <row r="148" spans="1:27" s="1" customFormat="1" hidden="1" x14ac:dyDescent="0.25">
      <c r="A148" s="134"/>
      <c r="B148" s="36"/>
      <c r="C148" s="36"/>
      <c r="D148" s="36"/>
      <c r="E148" s="36"/>
      <c r="F148" s="36"/>
      <c r="G148" s="25"/>
      <c r="H148" s="134"/>
      <c r="I148" s="14"/>
      <c r="J148" s="14"/>
      <c r="K148" s="25"/>
      <c r="L148" s="134"/>
      <c r="M148" s="14"/>
      <c r="N148" s="14"/>
      <c r="O148" s="58"/>
      <c r="P148" s="58"/>
      <c r="Q148" s="58"/>
      <c r="R148" s="58"/>
      <c r="S148" s="58"/>
      <c r="T148" s="58"/>
      <c r="U148" s="58"/>
      <c r="V148" s="58"/>
      <c r="W148" s="58"/>
      <c r="X148" s="120"/>
      <c r="Y148" s="129"/>
      <c r="Z148" s="118"/>
      <c r="AA148" s="121"/>
    </row>
    <row r="149" spans="1:27" s="1" customFormat="1" hidden="1" x14ac:dyDescent="0.25">
      <c r="A149" s="134"/>
      <c r="B149" s="36"/>
      <c r="C149" s="36"/>
      <c r="D149" s="36"/>
      <c r="E149" s="36"/>
      <c r="F149" s="36"/>
      <c r="G149" s="25"/>
      <c r="H149" s="134"/>
      <c r="I149" s="219"/>
      <c r="J149" s="14"/>
      <c r="K149" s="25"/>
      <c r="L149" s="134"/>
      <c r="M149" s="14"/>
      <c r="N149" s="14"/>
      <c r="O149" s="58"/>
      <c r="P149" s="58"/>
      <c r="Q149" s="58"/>
      <c r="R149" s="58"/>
      <c r="S149" s="58"/>
      <c r="T149" s="58"/>
      <c r="U149" s="58"/>
      <c r="V149" s="58"/>
      <c r="W149" s="58"/>
      <c r="X149" s="120"/>
      <c r="Y149" s="129"/>
      <c r="Z149" s="118"/>
      <c r="AA149" s="121"/>
    </row>
    <row r="150" spans="1:27" s="1" customFormat="1" hidden="1" x14ac:dyDescent="0.25">
      <c r="A150" s="134"/>
      <c r="B150" s="36"/>
      <c r="C150" s="36"/>
      <c r="D150" s="36"/>
      <c r="E150" s="36"/>
      <c r="F150" s="36"/>
      <c r="G150" s="25"/>
      <c r="H150" s="134"/>
      <c r="I150" s="14"/>
      <c r="J150" s="14"/>
      <c r="K150" s="25"/>
      <c r="L150" s="134"/>
      <c r="M150" s="14"/>
      <c r="N150" s="14"/>
      <c r="O150" s="58"/>
      <c r="P150" s="58"/>
      <c r="Q150" s="58"/>
      <c r="R150" s="58"/>
      <c r="S150" s="58"/>
      <c r="T150" s="58"/>
      <c r="U150" s="58"/>
      <c r="V150" s="58"/>
      <c r="W150" s="58"/>
      <c r="X150" s="120"/>
      <c r="Y150" s="129"/>
      <c r="Z150" s="118"/>
      <c r="AA150" s="121"/>
    </row>
    <row r="151" spans="1:27" s="1" customFormat="1" hidden="1" x14ac:dyDescent="0.25">
      <c r="A151" s="134"/>
      <c r="B151" s="36"/>
      <c r="C151" s="36"/>
      <c r="D151" s="36"/>
      <c r="E151" s="36"/>
      <c r="F151" s="36"/>
      <c r="G151" s="25"/>
      <c r="H151" s="134"/>
      <c r="I151" s="14"/>
      <c r="J151" s="14"/>
      <c r="K151" s="25"/>
      <c r="L151" s="134"/>
      <c r="M151" s="14"/>
      <c r="N151" s="14"/>
      <c r="O151" s="58"/>
      <c r="P151" s="58"/>
      <c r="Q151" s="58"/>
      <c r="R151" s="58"/>
      <c r="S151" s="58"/>
      <c r="T151" s="58"/>
      <c r="U151" s="58"/>
      <c r="V151" s="58"/>
      <c r="W151" s="58"/>
      <c r="X151" s="120"/>
      <c r="Y151" s="129"/>
      <c r="Z151" s="118"/>
      <c r="AA151" s="121"/>
    </row>
    <row r="152" spans="1:27" s="1" customFormat="1" hidden="1" x14ac:dyDescent="0.25">
      <c r="A152" s="134"/>
      <c r="B152" s="36"/>
      <c r="C152" s="36"/>
      <c r="D152" s="36"/>
      <c r="E152" s="36"/>
      <c r="F152" s="36"/>
      <c r="G152" s="25"/>
      <c r="H152" s="134"/>
      <c r="I152" s="14"/>
      <c r="J152" s="14"/>
      <c r="K152" s="25"/>
      <c r="L152" s="134"/>
      <c r="M152" s="14"/>
      <c r="N152" s="14"/>
      <c r="O152" s="58"/>
      <c r="P152" s="58"/>
      <c r="Q152" s="58"/>
      <c r="R152" s="58"/>
      <c r="S152" s="58"/>
      <c r="T152" s="58"/>
      <c r="U152" s="58"/>
      <c r="V152" s="58"/>
      <c r="W152" s="58"/>
      <c r="X152" s="120"/>
      <c r="Y152" s="129"/>
      <c r="Z152" s="118"/>
      <c r="AA152" s="121"/>
    </row>
    <row r="153" spans="1:27" s="1" customFormat="1" hidden="1" x14ac:dyDescent="0.25">
      <c r="A153" s="134"/>
      <c r="B153" s="36"/>
      <c r="C153" s="36"/>
      <c r="D153" s="36"/>
      <c r="E153" s="36"/>
      <c r="F153" s="36"/>
      <c r="G153" s="25"/>
      <c r="H153" s="134"/>
      <c r="I153" s="14"/>
      <c r="J153" s="14"/>
      <c r="K153" s="25"/>
      <c r="L153" s="134"/>
      <c r="M153" s="14"/>
      <c r="N153" s="14"/>
      <c r="O153" s="58"/>
      <c r="P153" s="58"/>
      <c r="Q153" s="58"/>
      <c r="R153" s="58"/>
      <c r="S153" s="58"/>
      <c r="T153" s="58"/>
      <c r="U153" s="58"/>
      <c r="V153" s="58"/>
      <c r="W153" s="58"/>
      <c r="X153" s="120"/>
      <c r="Y153" s="129"/>
      <c r="Z153" s="129"/>
      <c r="AA153" s="121"/>
    </row>
    <row r="154" spans="1:27" s="1" customFormat="1" hidden="1" x14ac:dyDescent="0.25">
      <c r="A154" s="134"/>
      <c r="B154" s="36"/>
      <c r="C154" s="36"/>
      <c r="D154" s="36"/>
      <c r="E154" s="36"/>
      <c r="F154" s="36"/>
      <c r="G154" s="25"/>
      <c r="H154" s="134"/>
      <c r="I154" s="14"/>
      <c r="J154" s="14"/>
      <c r="K154" s="25"/>
      <c r="L154" s="134"/>
      <c r="M154" s="14"/>
      <c r="N154" s="14"/>
      <c r="O154" s="58"/>
      <c r="P154" s="58"/>
      <c r="Q154" s="58"/>
      <c r="R154" s="58"/>
      <c r="S154" s="58"/>
      <c r="T154" s="58"/>
      <c r="U154" s="58"/>
      <c r="V154" s="58"/>
      <c r="W154" s="58"/>
      <c r="X154" s="120"/>
      <c r="Y154" s="129"/>
      <c r="Z154" s="129"/>
      <c r="AA154" s="121"/>
    </row>
    <row r="155" spans="1:27" s="1" customFormat="1" hidden="1" x14ac:dyDescent="0.25">
      <c r="A155" s="134"/>
      <c r="B155" s="36"/>
      <c r="C155" s="36"/>
      <c r="D155" s="36"/>
      <c r="E155" s="36"/>
      <c r="F155" s="36"/>
      <c r="G155" s="25"/>
      <c r="H155" s="134"/>
      <c r="I155" s="14"/>
      <c r="J155" s="14"/>
      <c r="K155" s="25"/>
      <c r="L155" s="134"/>
      <c r="M155" s="14"/>
      <c r="N155" s="14"/>
      <c r="O155" s="58"/>
      <c r="P155" s="58"/>
      <c r="Q155" s="58"/>
      <c r="R155" s="58"/>
      <c r="S155" s="58"/>
      <c r="T155" s="58"/>
      <c r="U155" s="58"/>
      <c r="V155" s="58"/>
      <c r="W155" s="58"/>
      <c r="X155" s="120"/>
      <c r="Y155" s="129"/>
      <c r="Z155" s="129"/>
      <c r="AA155" s="121"/>
    </row>
    <row r="156" spans="1:27" s="1" customFormat="1" hidden="1" x14ac:dyDescent="0.25">
      <c r="A156" s="134"/>
      <c r="B156" s="36"/>
      <c r="C156" s="36"/>
      <c r="D156" s="36"/>
      <c r="E156" s="36"/>
      <c r="F156" s="36"/>
      <c r="G156" s="25"/>
      <c r="H156" s="134"/>
      <c r="I156" s="14"/>
      <c r="J156" s="14"/>
      <c r="K156" s="25"/>
      <c r="L156" s="134"/>
      <c r="M156" s="14"/>
      <c r="N156" s="14"/>
      <c r="O156" s="58"/>
      <c r="P156" s="58"/>
      <c r="Q156" s="58"/>
      <c r="R156" s="58"/>
      <c r="S156" s="58"/>
      <c r="T156" s="58"/>
      <c r="U156" s="58"/>
      <c r="V156" s="58"/>
      <c r="W156" s="58"/>
      <c r="X156" s="120"/>
      <c r="Y156" s="129"/>
      <c r="Z156" s="129"/>
      <c r="AA156" s="121"/>
    </row>
    <row r="157" spans="1:27" s="1" customFormat="1" hidden="1" x14ac:dyDescent="0.25">
      <c r="A157" s="134"/>
      <c r="B157" s="36"/>
      <c r="C157" s="36"/>
      <c r="D157" s="36"/>
      <c r="E157" s="36"/>
      <c r="F157" s="36"/>
      <c r="G157" s="25"/>
      <c r="H157" s="134"/>
      <c r="I157" s="14"/>
      <c r="J157" s="14"/>
      <c r="K157" s="25"/>
      <c r="L157" s="134"/>
      <c r="M157" s="14"/>
      <c r="N157" s="14"/>
      <c r="O157" s="58"/>
      <c r="P157" s="58"/>
      <c r="Q157" s="58"/>
      <c r="R157" s="58"/>
      <c r="S157" s="58"/>
      <c r="T157" s="58"/>
      <c r="U157" s="58"/>
      <c r="V157" s="58"/>
      <c r="W157" s="58"/>
      <c r="X157" s="120"/>
      <c r="Y157" s="129"/>
      <c r="Z157" s="129"/>
      <c r="AA157" s="121"/>
    </row>
    <row r="158" spans="1:27" s="1" customFormat="1" hidden="1" x14ac:dyDescent="0.25">
      <c r="A158" s="134"/>
      <c r="B158" s="36"/>
      <c r="C158" s="36"/>
      <c r="D158" s="36"/>
      <c r="E158" s="36"/>
      <c r="F158" s="36"/>
      <c r="G158" s="25"/>
      <c r="H158" s="134"/>
      <c r="I158" s="14"/>
      <c r="J158" s="14"/>
      <c r="K158" s="25"/>
      <c r="L158" s="134"/>
      <c r="M158" s="14"/>
      <c r="N158" s="14"/>
      <c r="O158" s="58"/>
      <c r="P158" s="58"/>
      <c r="Q158" s="58"/>
      <c r="R158" s="58"/>
      <c r="S158" s="58"/>
      <c r="T158" s="58"/>
      <c r="U158" s="58"/>
      <c r="V158" s="58"/>
      <c r="W158" s="58"/>
      <c r="X158" s="120"/>
      <c r="Y158" s="129"/>
      <c r="Z158" s="129"/>
      <c r="AA158" s="121"/>
    </row>
    <row r="159" spans="1:27" s="1" customFormat="1" hidden="1" x14ac:dyDescent="0.25">
      <c r="A159" s="134"/>
      <c r="B159" s="36"/>
      <c r="C159" s="36"/>
      <c r="D159" s="36"/>
      <c r="E159" s="36"/>
      <c r="F159" s="36"/>
      <c r="G159" s="25"/>
      <c r="H159" s="134"/>
      <c r="I159" s="14"/>
      <c r="J159" s="14"/>
      <c r="K159" s="25"/>
      <c r="L159" s="134"/>
      <c r="M159" s="14"/>
      <c r="N159" s="14"/>
      <c r="O159" s="58"/>
      <c r="P159" s="58"/>
      <c r="Q159" s="58"/>
      <c r="R159" s="58"/>
      <c r="S159" s="58"/>
      <c r="T159" s="58"/>
      <c r="U159" s="58"/>
      <c r="V159" s="58"/>
      <c r="W159" s="58"/>
      <c r="X159" s="120"/>
      <c r="Y159" s="129"/>
      <c r="Z159" s="129"/>
      <c r="AA159" s="121"/>
    </row>
    <row r="160" spans="1:27" s="1" customFormat="1" hidden="1" x14ac:dyDescent="0.25">
      <c r="A160" s="134"/>
      <c r="B160" s="36"/>
      <c r="C160" s="36"/>
      <c r="D160" s="36"/>
      <c r="E160" s="36"/>
      <c r="F160" s="36"/>
      <c r="G160" s="25"/>
      <c r="H160" s="134"/>
      <c r="I160" s="14"/>
      <c r="J160" s="14"/>
      <c r="K160" s="25"/>
      <c r="L160" s="134"/>
      <c r="M160" s="14"/>
      <c r="N160" s="14"/>
      <c r="O160" s="58"/>
      <c r="P160" s="58"/>
      <c r="Q160" s="58"/>
      <c r="R160" s="58"/>
      <c r="S160" s="58"/>
      <c r="T160" s="58"/>
      <c r="U160" s="58"/>
      <c r="V160" s="58"/>
      <c r="W160" s="58"/>
      <c r="X160" s="120"/>
      <c r="Y160" s="129"/>
      <c r="Z160" s="129"/>
      <c r="AA160" s="121"/>
    </row>
    <row r="161" spans="1:27" s="1" customFormat="1" hidden="1" x14ac:dyDescent="0.25">
      <c r="A161" s="134"/>
      <c r="B161" s="36"/>
      <c r="C161" s="36"/>
      <c r="D161" s="36"/>
      <c r="E161" s="36"/>
      <c r="F161" s="36"/>
      <c r="G161" s="25"/>
      <c r="H161" s="134"/>
      <c r="I161" s="14"/>
      <c r="J161" s="14"/>
      <c r="K161" s="25"/>
      <c r="L161" s="134"/>
      <c r="M161" s="14"/>
      <c r="N161" s="14"/>
      <c r="O161" s="58"/>
      <c r="P161" s="58"/>
      <c r="Q161" s="58"/>
      <c r="R161" s="58"/>
      <c r="S161" s="58"/>
      <c r="T161" s="58"/>
      <c r="U161" s="58"/>
      <c r="V161" s="58"/>
      <c r="W161" s="58"/>
      <c r="X161" s="120"/>
      <c r="Y161" s="129"/>
      <c r="Z161" s="129"/>
      <c r="AA161" s="121"/>
    </row>
    <row r="162" spans="1:27" s="1" customFormat="1" hidden="1" x14ac:dyDescent="0.25">
      <c r="A162" s="134"/>
      <c r="B162" s="36"/>
      <c r="C162" s="36"/>
      <c r="D162" s="36"/>
      <c r="E162" s="36"/>
      <c r="F162" s="36"/>
      <c r="G162" s="25"/>
      <c r="H162" s="134"/>
      <c r="I162" s="14"/>
      <c r="J162" s="14"/>
      <c r="K162" s="25"/>
      <c r="L162" s="134"/>
      <c r="M162" s="14"/>
      <c r="N162" s="14"/>
      <c r="O162" s="58"/>
      <c r="P162" s="58"/>
      <c r="Q162" s="58"/>
      <c r="R162" s="58"/>
      <c r="S162" s="58"/>
      <c r="T162" s="58"/>
      <c r="U162" s="58"/>
      <c r="V162" s="58"/>
      <c r="W162" s="58"/>
      <c r="X162" s="120"/>
      <c r="Y162" s="129"/>
      <c r="Z162" s="129"/>
      <c r="AA162" s="121"/>
    </row>
    <row r="163" spans="1:27" s="1" customFormat="1" hidden="1" x14ac:dyDescent="0.25">
      <c r="A163" s="134"/>
      <c r="B163" s="36"/>
      <c r="C163" s="36"/>
      <c r="D163" s="36"/>
      <c r="E163" s="36"/>
      <c r="F163" s="36"/>
      <c r="G163" s="25"/>
      <c r="H163" s="134"/>
      <c r="I163" s="14"/>
      <c r="J163" s="14"/>
      <c r="K163" s="25"/>
      <c r="L163" s="134"/>
      <c r="M163" s="14"/>
      <c r="N163" s="14"/>
      <c r="O163" s="58"/>
      <c r="P163" s="58"/>
      <c r="Q163" s="58"/>
      <c r="R163" s="58"/>
      <c r="S163" s="58"/>
      <c r="T163" s="58"/>
      <c r="U163" s="58"/>
      <c r="V163" s="58"/>
      <c r="W163" s="58"/>
      <c r="X163" s="120"/>
      <c r="Y163" s="129"/>
      <c r="Z163" s="129"/>
      <c r="AA163" s="121"/>
    </row>
    <row r="164" spans="1:27" s="1" customFormat="1" hidden="1" x14ac:dyDescent="0.25">
      <c r="A164" s="134"/>
      <c r="B164" s="134"/>
      <c r="C164" s="134"/>
      <c r="D164" s="134"/>
      <c r="E164" s="134"/>
      <c r="F164" s="134"/>
      <c r="G164" s="25"/>
      <c r="H164" s="134"/>
      <c r="I164" s="14"/>
      <c r="J164" s="14"/>
      <c r="K164" s="25"/>
      <c r="L164" s="134"/>
      <c r="M164" s="14"/>
      <c r="N164" s="14"/>
      <c r="O164" s="134"/>
      <c r="P164" s="134"/>
      <c r="Q164" s="134"/>
      <c r="R164" s="134"/>
      <c r="S164" s="134"/>
      <c r="T164" s="134"/>
      <c r="U164" s="134"/>
      <c r="V164" s="134"/>
      <c r="W164" s="129"/>
      <c r="X164" s="129"/>
      <c r="Y164" s="129"/>
      <c r="Z164" s="129"/>
      <c r="AA164" s="121"/>
    </row>
    <row r="165" spans="1:27" s="1" customFormat="1" hidden="1" x14ac:dyDescent="0.25">
      <c r="A165" s="134"/>
      <c r="B165" s="134"/>
      <c r="C165" s="134"/>
      <c r="D165" s="134"/>
      <c r="E165" s="134"/>
      <c r="F165" s="134"/>
      <c r="G165" s="25"/>
      <c r="H165" s="134"/>
      <c r="I165" s="14"/>
      <c r="J165" s="14"/>
      <c r="K165" s="25"/>
      <c r="L165" s="134"/>
      <c r="M165" s="14"/>
      <c r="N165" s="14"/>
      <c r="O165" s="134"/>
      <c r="P165" s="134"/>
      <c r="Q165" s="134"/>
      <c r="R165" s="134"/>
      <c r="S165" s="134"/>
      <c r="T165" s="134"/>
      <c r="U165" s="134"/>
      <c r="V165" s="134"/>
      <c r="W165" s="129"/>
      <c r="X165" s="129"/>
      <c r="Y165" s="129"/>
      <c r="Z165" s="129"/>
      <c r="AA165" s="121"/>
    </row>
    <row r="166" spans="1:27" s="1" customFormat="1" hidden="1" x14ac:dyDescent="0.25">
      <c r="A166" s="134"/>
      <c r="B166" s="134"/>
      <c r="C166" s="134"/>
      <c r="D166" s="134"/>
      <c r="E166" s="134"/>
      <c r="F166" s="134"/>
      <c r="G166" s="25"/>
      <c r="H166" s="134"/>
      <c r="I166" s="14"/>
      <c r="J166" s="14"/>
      <c r="K166" s="25"/>
      <c r="L166" s="134"/>
      <c r="M166" s="14"/>
      <c r="N166" s="14"/>
      <c r="O166" s="134"/>
      <c r="P166" s="134"/>
      <c r="Q166" s="134"/>
      <c r="R166" s="134"/>
      <c r="S166" s="134"/>
      <c r="T166" s="134"/>
      <c r="U166" s="134"/>
      <c r="V166" s="134"/>
      <c r="W166" s="129"/>
      <c r="X166" s="129"/>
      <c r="Y166" s="129"/>
      <c r="Z166" s="129"/>
      <c r="AA166" s="121"/>
    </row>
    <row r="167" spans="1:27" s="1" customFormat="1" hidden="1" x14ac:dyDescent="0.25">
      <c r="A167" s="134"/>
      <c r="B167" s="134"/>
      <c r="C167" s="134"/>
      <c r="D167" s="134"/>
      <c r="E167" s="134"/>
      <c r="F167" s="134"/>
      <c r="G167" s="25"/>
      <c r="H167" s="134"/>
      <c r="I167" s="14"/>
      <c r="J167" s="14"/>
      <c r="K167" s="25"/>
      <c r="L167" s="134"/>
      <c r="M167" s="14"/>
      <c r="N167" s="14"/>
      <c r="O167" s="134"/>
      <c r="P167" s="134"/>
      <c r="Q167" s="134"/>
      <c r="R167" s="134"/>
      <c r="S167" s="134"/>
      <c r="T167" s="134"/>
      <c r="U167" s="134"/>
      <c r="V167" s="134"/>
      <c r="W167" s="129"/>
      <c r="X167" s="129"/>
      <c r="Y167" s="129"/>
      <c r="Z167" s="129"/>
      <c r="AA167" s="121"/>
    </row>
    <row r="168" spans="1:27" s="1" customFormat="1" hidden="1" x14ac:dyDescent="0.25">
      <c r="A168" s="134"/>
      <c r="B168" s="134"/>
      <c r="C168" s="134"/>
      <c r="D168" s="134"/>
      <c r="E168" s="134"/>
      <c r="F168" s="134"/>
      <c r="G168" s="25"/>
      <c r="H168" s="134"/>
      <c r="I168" s="14"/>
      <c r="J168" s="14"/>
      <c r="K168" s="25"/>
      <c r="L168" s="134"/>
      <c r="M168" s="14"/>
      <c r="N168" s="14"/>
      <c r="O168" s="134"/>
      <c r="P168" s="134"/>
      <c r="Q168" s="134"/>
      <c r="R168" s="134"/>
      <c r="S168" s="134"/>
      <c r="T168" s="134"/>
      <c r="U168" s="134"/>
      <c r="V168" s="134"/>
      <c r="W168" s="129"/>
      <c r="X168" s="129"/>
      <c r="Y168" s="129"/>
      <c r="Z168" s="129"/>
      <c r="AA168" s="121"/>
    </row>
    <row r="169" spans="1:27" s="1" customFormat="1" hidden="1" x14ac:dyDescent="0.25">
      <c r="A169" s="134"/>
      <c r="B169" s="134"/>
      <c r="C169" s="134"/>
      <c r="D169" s="134"/>
      <c r="E169" s="134"/>
      <c r="F169" s="134"/>
      <c r="G169" s="25"/>
      <c r="H169" s="134"/>
      <c r="I169" s="14"/>
      <c r="J169" s="14"/>
      <c r="K169" s="25"/>
      <c r="L169" s="134"/>
      <c r="M169" s="14"/>
      <c r="N169" s="14"/>
      <c r="O169" s="134"/>
      <c r="P169" s="134"/>
      <c r="Q169" s="134"/>
      <c r="R169" s="134"/>
      <c r="S169" s="134"/>
      <c r="T169" s="134"/>
      <c r="U169" s="134"/>
      <c r="V169" s="134"/>
      <c r="W169" s="129"/>
      <c r="X169" s="129"/>
      <c r="Y169" s="129"/>
      <c r="Z169" s="129"/>
      <c r="AA169" s="121"/>
    </row>
    <row r="170" spans="1:27" s="1" customFormat="1" hidden="1" x14ac:dyDescent="0.25">
      <c r="A170" s="134"/>
      <c r="B170" s="134"/>
      <c r="C170" s="134"/>
      <c r="D170" s="134"/>
      <c r="E170" s="134"/>
      <c r="F170" s="134"/>
      <c r="G170" s="25"/>
      <c r="H170" s="134"/>
      <c r="I170" s="14"/>
      <c r="J170" s="14"/>
      <c r="K170" s="25"/>
      <c r="L170" s="134"/>
      <c r="M170" s="14"/>
      <c r="N170" s="14"/>
      <c r="O170" s="134"/>
      <c r="P170" s="134"/>
      <c r="Q170" s="134"/>
      <c r="R170" s="134"/>
      <c r="S170" s="134"/>
      <c r="T170" s="134"/>
      <c r="U170" s="134"/>
      <c r="V170" s="134"/>
      <c r="W170" s="129"/>
      <c r="X170" s="129"/>
      <c r="Y170" s="129"/>
      <c r="Z170" s="129"/>
      <c r="AA170" s="121"/>
    </row>
    <row r="171" spans="1:27" hidden="1" x14ac:dyDescent="0.25">
      <c r="A171" s="134"/>
      <c r="B171" s="134"/>
      <c r="C171" s="134"/>
      <c r="D171" s="134"/>
      <c r="E171" s="134"/>
      <c r="F171" s="134"/>
      <c r="G171" s="25"/>
      <c r="H171" s="134"/>
      <c r="I171" s="14"/>
      <c r="J171" s="14"/>
      <c r="K171" s="25"/>
      <c r="L171" s="134"/>
      <c r="M171" s="14"/>
      <c r="N171" s="14"/>
      <c r="O171" s="134"/>
      <c r="P171" s="134"/>
      <c r="Q171" s="134"/>
      <c r="R171" s="134"/>
      <c r="S171" s="134"/>
      <c r="T171" s="134"/>
      <c r="U171" s="134"/>
      <c r="V171" s="134"/>
      <c r="W171" s="129"/>
      <c r="X171" s="129"/>
      <c r="Y171" s="129"/>
      <c r="Z171" s="129"/>
      <c r="AA171" s="121"/>
    </row>
    <row r="172" spans="1:27" hidden="1" x14ac:dyDescent="0.25">
      <c r="A172" s="134"/>
      <c r="B172" s="134"/>
      <c r="C172" s="134"/>
      <c r="D172" s="134"/>
      <c r="E172" s="134"/>
      <c r="F172" s="134"/>
      <c r="G172" s="25"/>
      <c r="H172" s="134"/>
      <c r="I172" s="14"/>
      <c r="J172" s="14"/>
      <c r="K172" s="25"/>
      <c r="L172" s="134"/>
      <c r="M172" s="14"/>
      <c r="N172" s="14"/>
      <c r="O172" s="134"/>
      <c r="P172" s="134"/>
      <c r="Q172" s="134"/>
      <c r="R172" s="134"/>
      <c r="S172" s="134"/>
      <c r="T172" s="134"/>
      <c r="U172" s="134"/>
      <c r="V172" s="134"/>
      <c r="W172" s="129"/>
      <c r="X172" s="129"/>
      <c r="Y172" s="129"/>
      <c r="AA172" s="121"/>
    </row>
    <row r="173" spans="1:27" hidden="1" x14ac:dyDescent="0.25">
      <c r="A173" s="134"/>
      <c r="B173" s="134"/>
      <c r="C173" s="134"/>
      <c r="D173" s="134"/>
      <c r="E173" s="134"/>
      <c r="F173" s="134"/>
      <c r="G173" s="25"/>
      <c r="H173" s="134"/>
      <c r="I173" s="14"/>
      <c r="J173" s="14"/>
      <c r="K173" s="25"/>
      <c r="L173" s="134"/>
      <c r="M173" s="14"/>
      <c r="N173" s="14"/>
      <c r="O173" s="134"/>
      <c r="P173" s="134"/>
      <c r="Q173" s="134"/>
      <c r="R173" s="134"/>
      <c r="S173" s="134"/>
      <c r="T173" s="134"/>
      <c r="U173" s="134"/>
      <c r="V173" s="134"/>
      <c r="W173" s="129"/>
      <c r="X173" s="129"/>
      <c r="Y173" s="129"/>
      <c r="AA173" s="121"/>
    </row>
    <row r="174" spans="1:27" hidden="1" x14ac:dyDescent="0.25">
      <c r="A174" s="134"/>
      <c r="B174" s="134"/>
      <c r="C174" s="134"/>
      <c r="D174" s="134"/>
      <c r="E174" s="134"/>
      <c r="F174" s="134"/>
      <c r="G174" s="25"/>
      <c r="H174" s="134"/>
      <c r="I174" s="14"/>
      <c r="J174" s="14"/>
      <c r="K174" s="25"/>
      <c r="L174" s="134"/>
      <c r="M174" s="14"/>
      <c r="N174" s="14"/>
      <c r="O174" s="134"/>
      <c r="P174" s="134"/>
      <c r="Q174" s="134"/>
      <c r="R174" s="134"/>
      <c r="S174" s="134"/>
      <c r="T174" s="134"/>
      <c r="U174" s="134"/>
      <c r="V174" s="134"/>
      <c r="W174" s="129"/>
      <c r="X174" s="129"/>
      <c r="Y174" s="129"/>
      <c r="AA174" s="121"/>
    </row>
    <row r="175" spans="1:27" hidden="1" x14ac:dyDescent="0.25">
      <c r="A175" s="134"/>
      <c r="B175" s="134"/>
      <c r="C175" s="134"/>
      <c r="D175" s="134"/>
      <c r="E175" s="134"/>
      <c r="F175" s="134"/>
      <c r="G175" s="25"/>
      <c r="H175" s="134"/>
      <c r="I175" s="14"/>
      <c r="J175" s="14"/>
      <c r="K175" s="25"/>
      <c r="L175" s="134"/>
      <c r="M175" s="14"/>
      <c r="N175" s="14"/>
      <c r="O175" s="134"/>
      <c r="P175" s="134"/>
      <c r="Q175" s="134"/>
      <c r="R175" s="134"/>
      <c r="S175" s="134"/>
      <c r="T175" s="134"/>
      <c r="U175" s="134"/>
      <c r="V175" s="134"/>
      <c r="W175" s="129"/>
      <c r="X175" s="129"/>
      <c r="Y175" s="129"/>
      <c r="AA175" s="121"/>
    </row>
    <row r="176" spans="1:27" hidden="1" x14ac:dyDescent="0.25">
      <c r="A176" s="134"/>
      <c r="B176" s="134"/>
      <c r="C176" s="134"/>
      <c r="D176" s="134"/>
      <c r="E176" s="134"/>
      <c r="F176" s="134"/>
      <c r="G176" s="25"/>
      <c r="H176" s="134"/>
      <c r="I176" s="14"/>
      <c r="J176" s="14"/>
      <c r="K176" s="25"/>
      <c r="L176" s="134"/>
      <c r="M176" s="14"/>
      <c r="N176" s="14"/>
      <c r="O176" s="134"/>
      <c r="P176" s="134"/>
      <c r="Q176" s="134"/>
      <c r="R176" s="134"/>
      <c r="S176" s="134"/>
      <c r="T176" s="134"/>
      <c r="U176" s="134"/>
      <c r="V176" s="134"/>
      <c r="W176" s="129"/>
      <c r="X176" s="129"/>
      <c r="Y176" s="129"/>
      <c r="AA176" s="121"/>
    </row>
    <row r="177" spans="1:27" hidden="1" x14ac:dyDescent="0.25">
      <c r="A177" s="134"/>
      <c r="B177" s="134"/>
      <c r="C177" s="134"/>
      <c r="D177" s="134"/>
      <c r="E177" s="134"/>
      <c r="F177" s="134"/>
      <c r="G177" s="25"/>
      <c r="H177" s="134"/>
      <c r="I177" s="14"/>
      <c r="J177" s="14"/>
      <c r="K177" s="25"/>
      <c r="L177" s="134"/>
      <c r="M177" s="14"/>
      <c r="N177" s="14"/>
      <c r="O177" s="134"/>
      <c r="P177" s="134"/>
      <c r="Q177" s="134"/>
      <c r="R177" s="134"/>
      <c r="S177" s="134"/>
      <c r="T177" s="134"/>
      <c r="U177" s="134"/>
      <c r="V177" s="134"/>
      <c r="W177" s="129"/>
      <c r="X177" s="129"/>
      <c r="Y177" s="129"/>
      <c r="AA177" s="121"/>
    </row>
    <row r="178" spans="1:27" hidden="1" x14ac:dyDescent="0.25">
      <c r="A178" s="134"/>
      <c r="B178" s="134"/>
      <c r="C178" s="134"/>
      <c r="D178" s="134"/>
      <c r="E178" s="134"/>
      <c r="F178" s="134"/>
      <c r="G178" s="25"/>
      <c r="H178" s="134"/>
      <c r="I178" s="14"/>
      <c r="J178" s="14"/>
      <c r="K178" s="25"/>
      <c r="L178" s="134"/>
      <c r="M178" s="14"/>
      <c r="N178" s="14"/>
      <c r="O178" s="134"/>
      <c r="P178" s="134"/>
      <c r="Q178" s="134"/>
      <c r="R178" s="134"/>
      <c r="S178" s="134"/>
      <c r="T178" s="134"/>
      <c r="U178" s="134"/>
      <c r="V178" s="134"/>
      <c r="W178" s="129"/>
      <c r="X178" s="129"/>
      <c r="Y178" s="129"/>
      <c r="AA178" s="121"/>
    </row>
    <row r="179" spans="1:27" hidden="1" x14ac:dyDescent="0.25">
      <c r="A179" s="134"/>
      <c r="B179" s="134"/>
      <c r="C179" s="134"/>
      <c r="D179" s="134"/>
      <c r="E179" s="134"/>
      <c r="F179" s="134"/>
      <c r="G179" s="25"/>
      <c r="H179" s="134"/>
      <c r="I179" s="14"/>
      <c r="J179" s="14"/>
      <c r="K179" s="25"/>
      <c r="L179" s="134"/>
      <c r="M179" s="14"/>
      <c r="N179" s="14"/>
      <c r="O179" s="134"/>
      <c r="P179" s="134"/>
      <c r="Q179" s="134"/>
      <c r="R179" s="134"/>
      <c r="S179" s="134"/>
      <c r="T179" s="134"/>
      <c r="U179" s="134"/>
      <c r="V179" s="134"/>
      <c r="W179" s="129"/>
      <c r="X179" s="129"/>
      <c r="Y179" s="129"/>
      <c r="AA179" s="121"/>
    </row>
    <row r="180" spans="1:27" hidden="1" x14ac:dyDescent="0.25">
      <c r="A180" s="129"/>
      <c r="B180" s="134"/>
      <c r="C180" s="134"/>
      <c r="D180" s="134"/>
      <c r="E180" s="134"/>
      <c r="F180" s="134"/>
      <c r="G180" s="25"/>
      <c r="H180" s="134"/>
      <c r="I180" s="14"/>
      <c r="J180" s="14"/>
      <c r="K180" s="25"/>
      <c r="L180" s="134"/>
      <c r="M180" s="14"/>
      <c r="N180" s="14"/>
      <c r="O180" s="134"/>
      <c r="P180" s="134"/>
      <c r="Q180" s="134"/>
      <c r="R180" s="134"/>
      <c r="S180" s="134"/>
      <c r="T180" s="134"/>
      <c r="U180" s="134"/>
      <c r="V180" s="134"/>
      <c r="W180" s="129"/>
      <c r="X180" s="129"/>
      <c r="Y180" s="129"/>
      <c r="AA180" s="121"/>
    </row>
    <row r="181" spans="1:27" hidden="1" x14ac:dyDescent="0.25">
      <c r="A181" s="129"/>
      <c r="B181" s="134"/>
      <c r="C181" s="134"/>
      <c r="D181" s="134"/>
      <c r="E181" s="134"/>
      <c r="F181" s="134"/>
      <c r="G181" s="25"/>
      <c r="H181" s="134"/>
      <c r="I181" s="14"/>
      <c r="J181" s="14"/>
      <c r="K181" s="25"/>
      <c r="L181" s="134"/>
      <c r="M181" s="14"/>
      <c r="N181" s="14"/>
      <c r="O181" s="134"/>
      <c r="P181" s="134"/>
      <c r="Q181" s="134"/>
      <c r="R181" s="134"/>
      <c r="S181" s="134"/>
      <c r="T181" s="134"/>
      <c r="U181" s="134"/>
      <c r="V181" s="134"/>
      <c r="W181" s="129"/>
      <c r="X181" s="129"/>
      <c r="Y181" s="129"/>
      <c r="AA181" s="121"/>
    </row>
    <row r="182" spans="1:27" x14ac:dyDescent="0.25">
      <c r="A182" s="129"/>
      <c r="B182" s="129"/>
      <c r="C182" s="129"/>
      <c r="D182" s="129"/>
      <c r="E182" s="129"/>
      <c r="F182" s="129"/>
      <c r="G182" s="25"/>
      <c r="H182" s="134"/>
      <c r="I182" s="14"/>
      <c r="J182" s="14"/>
      <c r="K182" s="25"/>
      <c r="L182" s="134"/>
      <c r="M182" s="14"/>
      <c r="N182" s="14"/>
      <c r="O182" s="129"/>
      <c r="P182" s="129"/>
      <c r="Q182" s="129"/>
      <c r="R182" s="129"/>
      <c r="S182" s="129"/>
      <c r="T182" s="129"/>
      <c r="U182" s="129"/>
      <c r="V182" s="129"/>
      <c r="W182" s="129"/>
      <c r="X182" s="129"/>
      <c r="Y182" s="129"/>
      <c r="AA182" s="121"/>
    </row>
    <row r="183" spans="1:27" x14ac:dyDescent="0.25">
      <c r="A183" s="129"/>
      <c r="G183" s="25"/>
      <c r="H183" s="34"/>
      <c r="I183" s="14"/>
      <c r="J183" s="14"/>
      <c r="K183" s="25"/>
      <c r="L183" s="34"/>
      <c r="M183" s="14"/>
      <c r="N183" s="14"/>
      <c r="T183" s="129"/>
      <c r="U183" s="129"/>
      <c r="V183" s="129"/>
      <c r="Y183" s="129"/>
      <c r="AA183" s="121"/>
    </row>
    <row r="184" spans="1:27" x14ac:dyDescent="0.25">
      <c r="A184" s="129"/>
      <c r="G184" s="25"/>
      <c r="H184" s="34"/>
      <c r="I184" s="14"/>
      <c r="J184" s="14"/>
      <c r="K184" s="25"/>
      <c r="L184" s="34"/>
      <c r="M184" s="14"/>
      <c r="N184" s="14"/>
      <c r="T184" s="129"/>
      <c r="U184" s="129"/>
      <c r="V184" s="129"/>
      <c r="Y184" s="129"/>
      <c r="AA184" s="121"/>
    </row>
    <row r="185" spans="1:27" x14ac:dyDescent="0.25">
      <c r="A185" s="129"/>
      <c r="G185" s="25"/>
      <c r="H185" s="34"/>
      <c r="I185" s="14"/>
      <c r="J185" s="14"/>
      <c r="K185" s="25"/>
      <c r="L185" s="34"/>
      <c r="M185" s="14"/>
      <c r="N185" s="14"/>
      <c r="T185" s="129"/>
      <c r="U185" s="129"/>
      <c r="V185" s="129"/>
      <c r="Y185" s="129"/>
      <c r="AA185" s="121"/>
    </row>
    <row r="186" spans="1:27" x14ac:dyDescent="0.25">
      <c r="A186" s="129"/>
      <c r="G186" s="25"/>
      <c r="H186" s="34"/>
      <c r="I186" s="14"/>
      <c r="J186" s="14"/>
      <c r="K186" s="25"/>
      <c r="L186" s="34"/>
      <c r="M186" s="14"/>
      <c r="N186" s="14"/>
      <c r="T186" s="129"/>
      <c r="U186" s="129"/>
      <c r="V186" s="129"/>
      <c r="Y186" s="129"/>
      <c r="AA186" s="121"/>
    </row>
    <row r="187" spans="1:27" x14ac:dyDescent="0.25">
      <c r="G187" s="25"/>
      <c r="H187" s="34"/>
      <c r="I187" s="14"/>
      <c r="J187" s="135"/>
      <c r="K187" s="25"/>
      <c r="L187" s="34"/>
      <c r="M187" s="14"/>
      <c r="N187" s="14"/>
      <c r="T187" s="129"/>
      <c r="U187" s="129"/>
      <c r="V187" s="129"/>
      <c r="Y187" s="129"/>
      <c r="AA187" s="121"/>
    </row>
    <row r="188" spans="1:27" x14ac:dyDescent="0.25">
      <c r="G188" s="25"/>
      <c r="H188" s="34"/>
      <c r="I188" s="14"/>
      <c r="J188" s="14"/>
      <c r="K188" s="25"/>
      <c r="L188" s="34"/>
      <c r="M188" s="14"/>
      <c r="N188" s="14"/>
      <c r="T188" s="129"/>
      <c r="U188" s="129"/>
      <c r="V188" s="129"/>
      <c r="Y188" s="129"/>
      <c r="AA188" s="121"/>
    </row>
    <row r="189" spans="1:27" x14ac:dyDescent="0.25">
      <c r="G189" s="38"/>
      <c r="H189" s="34"/>
      <c r="I189" s="14"/>
      <c r="J189" s="14"/>
      <c r="K189" s="25"/>
      <c r="L189" s="34"/>
      <c r="M189" s="14"/>
      <c r="N189" s="206"/>
      <c r="T189" s="129"/>
      <c r="U189" s="129"/>
      <c r="V189" s="129"/>
      <c r="Y189" s="129"/>
      <c r="AA189" s="121"/>
    </row>
    <row r="190" spans="1:27" x14ac:dyDescent="0.25">
      <c r="G190" s="134"/>
      <c r="H190" s="34"/>
      <c r="I190" s="14"/>
      <c r="J190" s="14"/>
      <c r="K190" s="25"/>
      <c r="L190" s="34"/>
      <c r="M190" s="14"/>
      <c r="N190" s="34"/>
      <c r="T190" s="129"/>
      <c r="U190" s="129"/>
      <c r="V190" s="129"/>
      <c r="Y190" s="129"/>
      <c r="AA190" s="121"/>
    </row>
    <row r="191" spans="1:27" x14ac:dyDescent="0.25">
      <c r="G191" s="134"/>
      <c r="H191" s="34"/>
      <c r="I191" s="14"/>
      <c r="J191" s="14"/>
      <c r="K191" s="25"/>
      <c r="L191" s="34"/>
      <c r="M191" s="14"/>
      <c r="N191" s="34"/>
      <c r="T191" s="129"/>
      <c r="U191" s="129"/>
      <c r="V191" s="129"/>
      <c r="Y191" s="129"/>
      <c r="AA191" s="121"/>
    </row>
    <row r="192" spans="1:27" x14ac:dyDescent="0.25">
      <c r="G192" s="134"/>
      <c r="H192" s="34"/>
      <c r="I192" s="34"/>
      <c r="J192" s="134"/>
      <c r="K192" s="134"/>
      <c r="L192" s="34"/>
      <c r="M192" s="34"/>
      <c r="N192" s="34"/>
      <c r="T192" s="129"/>
      <c r="U192" s="129"/>
      <c r="V192" s="129"/>
      <c r="Y192" s="129"/>
      <c r="AA192" s="121"/>
    </row>
    <row r="193" spans="7:27" x14ac:dyDescent="0.25">
      <c r="G193" s="134"/>
      <c r="H193" s="34"/>
      <c r="I193" s="34"/>
      <c r="J193" s="134"/>
      <c r="K193" s="134"/>
      <c r="L193" s="34"/>
      <c r="M193" s="34"/>
      <c r="N193" s="34"/>
      <c r="T193" s="129"/>
      <c r="U193" s="129"/>
      <c r="V193" s="129"/>
      <c r="Y193" s="129"/>
      <c r="AA193" s="121"/>
    </row>
    <row r="194" spans="7:27" x14ac:dyDescent="0.25">
      <c r="G194" s="134"/>
      <c r="H194" s="34"/>
      <c r="I194" s="34"/>
      <c r="J194" s="134"/>
      <c r="K194" s="134"/>
      <c r="L194" s="34"/>
      <c r="M194" s="34"/>
      <c r="N194" s="34"/>
      <c r="T194" s="129"/>
      <c r="U194" s="129"/>
      <c r="V194" s="129"/>
      <c r="Y194" s="129"/>
      <c r="AA194" s="121"/>
    </row>
    <row r="195" spans="7:27" x14ac:dyDescent="0.25">
      <c r="G195" s="134"/>
      <c r="H195" s="34"/>
      <c r="I195" s="34"/>
      <c r="J195" s="134"/>
      <c r="K195" s="134"/>
      <c r="L195" s="34"/>
      <c r="M195" s="34"/>
      <c r="N195" s="34"/>
      <c r="T195" s="129"/>
      <c r="U195" s="129"/>
      <c r="V195" s="129"/>
      <c r="Y195" s="129"/>
      <c r="AA195" s="121"/>
    </row>
    <row r="196" spans="7:27" x14ac:dyDescent="0.25">
      <c r="G196" s="134"/>
      <c r="H196" s="34"/>
      <c r="I196" s="34"/>
      <c r="J196" s="134"/>
      <c r="K196" s="134"/>
      <c r="L196" s="34"/>
      <c r="M196" s="34"/>
      <c r="N196" s="34"/>
      <c r="T196" s="129"/>
      <c r="U196" s="129"/>
      <c r="V196" s="129"/>
      <c r="Y196" s="129"/>
      <c r="AA196" s="121"/>
    </row>
    <row r="197" spans="7:27" x14ac:dyDescent="0.25">
      <c r="G197" s="134"/>
      <c r="H197" s="34"/>
      <c r="I197" s="34"/>
      <c r="J197" s="134"/>
      <c r="K197" s="134"/>
      <c r="L197" s="34"/>
      <c r="M197" s="34"/>
      <c r="N197" s="34"/>
      <c r="T197" s="129"/>
      <c r="U197" s="129"/>
      <c r="V197" s="129"/>
      <c r="Y197" s="129"/>
      <c r="AA197" s="121"/>
    </row>
    <row r="198" spans="7:27" x14ac:dyDescent="0.25">
      <c r="G198" s="134"/>
      <c r="H198" s="34"/>
      <c r="I198" s="34"/>
      <c r="J198" s="134"/>
      <c r="K198" s="134"/>
      <c r="L198" s="34"/>
      <c r="M198" s="34"/>
      <c r="N198" s="34"/>
      <c r="T198" s="129"/>
      <c r="U198" s="129"/>
      <c r="V198" s="129"/>
      <c r="Y198" s="129"/>
      <c r="AA198" s="121"/>
    </row>
    <row r="199" spans="7:27" x14ac:dyDescent="0.25">
      <c r="G199" s="134"/>
      <c r="H199" s="34"/>
      <c r="I199" s="34"/>
      <c r="J199" s="134"/>
      <c r="K199" s="134"/>
      <c r="L199" s="34"/>
      <c r="M199" s="34"/>
      <c r="N199" s="34"/>
      <c r="T199" s="129"/>
      <c r="U199" s="129"/>
      <c r="V199" s="129"/>
      <c r="Y199" s="129"/>
      <c r="AA199" s="121"/>
    </row>
    <row r="200" spans="7:27" x14ac:dyDescent="0.25">
      <c r="G200" s="134"/>
      <c r="H200" s="34"/>
      <c r="I200" s="34"/>
      <c r="J200" s="134"/>
      <c r="K200" s="134"/>
      <c r="L200" s="34"/>
      <c r="M200" s="34"/>
      <c r="N200" s="34"/>
      <c r="T200" s="129"/>
      <c r="U200" s="129"/>
      <c r="V200" s="129"/>
      <c r="Y200" s="129"/>
      <c r="AA200" s="121"/>
    </row>
    <row r="201" spans="7:27" x14ac:dyDescent="0.25">
      <c r="G201" s="134"/>
      <c r="H201" s="34"/>
      <c r="I201" s="34"/>
      <c r="J201" s="134"/>
      <c r="K201" s="134"/>
      <c r="L201" s="34"/>
      <c r="M201" s="34"/>
      <c r="N201" s="34"/>
      <c r="T201" s="129"/>
      <c r="U201" s="129"/>
      <c r="V201" s="129"/>
      <c r="Y201" s="129"/>
    </row>
    <row r="202" spans="7:27" x14ac:dyDescent="0.25">
      <c r="G202" s="134"/>
      <c r="H202" s="34"/>
      <c r="I202" s="34"/>
      <c r="J202" s="134"/>
      <c r="K202" s="134"/>
      <c r="L202" s="34"/>
      <c r="M202" s="34"/>
      <c r="N202" s="34"/>
      <c r="T202" s="129"/>
      <c r="U202" s="129"/>
      <c r="V202" s="129"/>
      <c r="Y202" s="129"/>
    </row>
    <row r="203" spans="7:27" x14ac:dyDescent="0.25">
      <c r="G203" s="134"/>
      <c r="H203" s="34"/>
      <c r="I203" s="34"/>
      <c r="J203" s="134"/>
      <c r="K203" s="134"/>
      <c r="L203" s="34"/>
      <c r="M203" s="34"/>
      <c r="N203" s="34"/>
      <c r="T203" s="129"/>
      <c r="U203" s="129"/>
      <c r="V203" s="129"/>
      <c r="Y203" s="129"/>
    </row>
    <row r="204" spans="7:27" x14ac:dyDescent="0.25">
      <c r="G204" s="134"/>
      <c r="H204" s="34"/>
      <c r="I204" s="34"/>
      <c r="J204" s="134"/>
      <c r="K204" s="134"/>
      <c r="L204" s="34"/>
      <c r="M204" s="34"/>
      <c r="N204" s="34"/>
      <c r="T204" s="129"/>
      <c r="U204" s="129"/>
      <c r="V204" s="129"/>
      <c r="Y204" s="129"/>
    </row>
    <row r="205" spans="7:27" x14ac:dyDescent="0.25">
      <c r="G205" s="134"/>
      <c r="H205" s="34"/>
      <c r="I205" s="34"/>
      <c r="J205" s="134"/>
      <c r="K205" s="134"/>
      <c r="L205" s="34"/>
      <c r="M205" s="34"/>
      <c r="N205" s="34"/>
      <c r="T205" s="129"/>
      <c r="U205" s="129"/>
      <c r="V205" s="129"/>
      <c r="Y205" s="129"/>
    </row>
    <row r="206" spans="7:27" x14ac:dyDescent="0.25">
      <c r="G206" s="134"/>
      <c r="H206" s="34"/>
      <c r="I206" s="34"/>
      <c r="J206" s="134"/>
      <c r="K206" s="134"/>
      <c r="L206" s="34"/>
      <c r="M206" s="34"/>
      <c r="N206" s="34"/>
      <c r="T206" s="129"/>
      <c r="U206" s="129"/>
      <c r="V206" s="129"/>
      <c r="Y206" s="129"/>
    </row>
    <row r="207" spans="7:27" x14ac:dyDescent="0.25">
      <c r="G207" s="134"/>
      <c r="H207" s="34"/>
      <c r="I207" s="34"/>
      <c r="J207" s="134"/>
      <c r="K207" s="134"/>
      <c r="L207" s="34"/>
      <c r="M207" s="34"/>
      <c r="N207" s="34"/>
      <c r="T207" s="129"/>
      <c r="U207" s="129"/>
      <c r="V207" s="129"/>
      <c r="Y207" s="129"/>
    </row>
    <row r="208" spans="7:27" x14ac:dyDescent="0.25">
      <c r="G208" s="134"/>
      <c r="H208" s="34"/>
      <c r="I208" s="34"/>
      <c r="J208" s="134"/>
      <c r="K208" s="134"/>
      <c r="L208" s="34"/>
      <c r="M208" s="34"/>
      <c r="N208" s="34"/>
      <c r="T208" s="129"/>
      <c r="U208" s="129"/>
      <c r="V208" s="129"/>
      <c r="Y208" s="129"/>
    </row>
    <row r="209" spans="7:25" x14ac:dyDescent="0.25">
      <c r="G209" s="134"/>
      <c r="H209" s="34"/>
      <c r="I209" s="34"/>
      <c r="J209" s="134"/>
      <c r="K209" s="134"/>
      <c r="L209" s="34"/>
      <c r="M209" s="34"/>
      <c r="N209" s="34"/>
      <c r="T209" s="129"/>
      <c r="U209" s="129"/>
      <c r="V209" s="129"/>
      <c r="Y209" s="129"/>
    </row>
    <row r="210" spans="7:25" x14ac:dyDescent="0.25">
      <c r="G210" s="134"/>
      <c r="H210" s="34"/>
      <c r="I210" s="34"/>
      <c r="J210" s="134"/>
      <c r="K210" s="134"/>
      <c r="L210" s="34"/>
      <c r="M210" s="34"/>
      <c r="N210" s="34"/>
      <c r="T210" s="129"/>
      <c r="U210" s="129"/>
      <c r="V210" s="129"/>
      <c r="Y210" s="129"/>
    </row>
    <row r="211" spans="7:25" x14ac:dyDescent="0.25">
      <c r="G211" s="134"/>
      <c r="H211" s="34"/>
      <c r="I211" s="34"/>
      <c r="J211" s="134"/>
      <c r="K211" s="134"/>
      <c r="L211" s="34"/>
      <c r="M211" s="34"/>
      <c r="N211" s="34"/>
      <c r="T211" s="129"/>
      <c r="U211" s="129"/>
      <c r="V211" s="129"/>
      <c r="Y211" s="129"/>
    </row>
    <row r="212" spans="7:25" x14ac:dyDescent="0.25">
      <c r="G212" s="134"/>
      <c r="H212" s="34"/>
      <c r="I212" s="34"/>
      <c r="J212" s="134"/>
      <c r="K212" s="134"/>
      <c r="L212" s="34"/>
      <c r="M212" s="34"/>
      <c r="N212" s="34"/>
      <c r="T212" s="129"/>
      <c r="U212" s="129"/>
      <c r="V212" s="129"/>
      <c r="Y212" s="129"/>
    </row>
    <row r="213" spans="7:25" x14ac:dyDescent="0.25">
      <c r="G213" s="134"/>
      <c r="H213" s="34"/>
      <c r="I213" s="34"/>
      <c r="J213" s="134"/>
      <c r="K213" s="134"/>
      <c r="L213" s="34"/>
      <c r="M213" s="34"/>
      <c r="N213" s="34"/>
      <c r="T213" s="129"/>
      <c r="U213" s="129"/>
      <c r="V213" s="129"/>
      <c r="Y213" s="129"/>
    </row>
    <row r="214" spans="7:25" x14ac:dyDescent="0.25">
      <c r="G214" s="134"/>
      <c r="H214" s="34"/>
      <c r="I214" s="34"/>
      <c r="J214" s="134"/>
      <c r="K214" s="134"/>
      <c r="L214" s="34"/>
      <c r="M214" s="34"/>
      <c r="N214" s="34"/>
      <c r="T214" s="129"/>
      <c r="U214" s="129"/>
      <c r="V214" s="129"/>
      <c r="Y214" s="129"/>
    </row>
    <row r="215" spans="7:25" x14ac:dyDescent="0.25">
      <c r="G215" s="134"/>
      <c r="H215" s="34"/>
      <c r="I215" s="34"/>
      <c r="J215" s="134"/>
      <c r="K215" s="134"/>
      <c r="L215" s="34"/>
      <c r="M215" s="34"/>
      <c r="N215" s="34"/>
      <c r="T215" s="129"/>
      <c r="U215" s="129"/>
      <c r="V215" s="129"/>
      <c r="Y215" s="129"/>
    </row>
    <row r="216" spans="7:25" x14ac:dyDescent="0.25">
      <c r="G216" s="134"/>
      <c r="H216" s="34"/>
      <c r="I216" s="34"/>
      <c r="J216" s="134"/>
      <c r="K216" s="134"/>
      <c r="L216" s="34"/>
      <c r="M216" s="34"/>
      <c r="N216" s="34"/>
      <c r="T216" s="129"/>
      <c r="U216" s="129"/>
      <c r="V216" s="129"/>
      <c r="Y216" s="129"/>
    </row>
    <row r="217" spans="7:25" x14ac:dyDescent="0.25">
      <c r="G217" s="134"/>
      <c r="H217" s="34"/>
      <c r="I217" s="34"/>
      <c r="J217" s="134"/>
      <c r="K217" s="134"/>
      <c r="L217" s="34"/>
      <c r="M217" s="34"/>
      <c r="N217" s="34"/>
      <c r="T217" s="129"/>
      <c r="U217" s="129"/>
      <c r="V217" s="129"/>
      <c r="Y217" s="129"/>
    </row>
    <row r="218" spans="7:25" x14ac:dyDescent="0.25">
      <c r="G218" s="134"/>
      <c r="H218" s="34"/>
      <c r="I218" s="34"/>
      <c r="J218" s="134"/>
      <c r="K218" s="134"/>
      <c r="L218" s="34"/>
      <c r="M218" s="34"/>
      <c r="N218" s="34"/>
      <c r="T218" s="129"/>
      <c r="U218" s="129"/>
      <c r="V218" s="129"/>
      <c r="Y218" s="129"/>
    </row>
    <row r="219" spans="7:25" x14ac:dyDescent="0.25">
      <c r="G219" s="134"/>
      <c r="H219" s="34"/>
      <c r="I219" s="34"/>
      <c r="J219" s="134"/>
      <c r="K219" s="134"/>
      <c r="L219" s="34"/>
      <c r="M219" s="34"/>
      <c r="N219" s="34"/>
      <c r="T219" s="129"/>
      <c r="U219" s="129"/>
      <c r="V219" s="129"/>
      <c r="Y219" s="129"/>
    </row>
    <row r="220" spans="7:25" x14ac:dyDescent="0.25">
      <c r="G220" s="134"/>
      <c r="H220" s="34"/>
      <c r="I220" s="34"/>
      <c r="J220" s="134"/>
      <c r="K220" s="134"/>
      <c r="L220" s="34"/>
      <c r="M220" s="34"/>
      <c r="N220" s="34"/>
      <c r="T220" s="129"/>
      <c r="U220" s="129"/>
      <c r="V220" s="129"/>
      <c r="Y220" s="129"/>
    </row>
    <row r="221" spans="7:25" x14ac:dyDescent="0.25">
      <c r="G221" s="134"/>
      <c r="H221" s="34"/>
      <c r="I221" s="34"/>
      <c r="J221" s="134"/>
      <c r="K221" s="134"/>
      <c r="L221" s="34"/>
      <c r="M221" s="34"/>
      <c r="N221" s="34"/>
      <c r="T221" s="129"/>
      <c r="U221" s="129"/>
      <c r="V221" s="129"/>
      <c r="Y221" s="129"/>
    </row>
    <row r="222" spans="7:25" x14ac:dyDescent="0.25">
      <c r="G222" s="134"/>
      <c r="H222" s="34"/>
      <c r="I222" s="34"/>
      <c r="J222" s="134"/>
      <c r="K222" s="134"/>
      <c r="L222" s="34"/>
      <c r="M222" s="34"/>
      <c r="N222" s="34"/>
      <c r="T222" s="129"/>
      <c r="U222" s="129"/>
      <c r="V222" s="129"/>
      <c r="Y222" s="129"/>
    </row>
    <row r="223" spans="7:25" x14ac:dyDescent="0.25">
      <c r="G223" s="134"/>
      <c r="H223" s="34"/>
      <c r="I223" s="34"/>
      <c r="J223" s="134"/>
      <c r="K223" s="134"/>
      <c r="L223" s="34"/>
      <c r="M223" s="34"/>
      <c r="N223" s="34"/>
      <c r="T223" s="129"/>
      <c r="U223" s="129"/>
      <c r="V223" s="129"/>
      <c r="Y223" s="129"/>
    </row>
    <row r="224" spans="7:25" x14ac:dyDescent="0.25">
      <c r="G224" s="134"/>
      <c r="H224" s="34"/>
      <c r="I224" s="34"/>
      <c r="J224" s="134"/>
      <c r="K224" s="134"/>
      <c r="L224" s="34"/>
      <c r="M224" s="34"/>
      <c r="N224" s="34"/>
      <c r="T224" s="129"/>
      <c r="U224" s="129"/>
      <c r="V224" s="129"/>
      <c r="Y224" s="129"/>
    </row>
    <row r="225" spans="7:25" x14ac:dyDescent="0.25">
      <c r="G225" s="134"/>
      <c r="H225" s="34"/>
      <c r="I225" s="34"/>
      <c r="J225" s="134"/>
      <c r="K225" s="134"/>
      <c r="L225" s="34"/>
      <c r="M225" s="34"/>
      <c r="N225" s="34"/>
      <c r="T225" s="129"/>
      <c r="U225" s="129"/>
      <c r="V225" s="129"/>
      <c r="Y225" s="129"/>
    </row>
    <row r="226" spans="7:25" x14ac:dyDescent="0.25">
      <c r="G226" s="134"/>
      <c r="H226" s="34"/>
      <c r="I226" s="34"/>
      <c r="J226" s="134"/>
      <c r="K226" s="134"/>
      <c r="L226" s="34"/>
      <c r="M226" s="34"/>
      <c r="N226" s="34"/>
      <c r="T226" s="129"/>
      <c r="U226" s="129"/>
      <c r="V226" s="129"/>
      <c r="Y226" s="129"/>
    </row>
    <row r="227" spans="7:25" x14ac:dyDescent="0.25">
      <c r="G227" s="134"/>
      <c r="H227" s="34"/>
      <c r="I227" s="34"/>
      <c r="J227" s="134"/>
      <c r="K227" s="134"/>
      <c r="L227" s="34"/>
      <c r="M227" s="34"/>
      <c r="N227" s="34"/>
      <c r="T227" s="129"/>
      <c r="U227" s="129"/>
      <c r="V227" s="129"/>
      <c r="Y227" s="129"/>
    </row>
    <row r="228" spans="7:25" x14ac:dyDescent="0.25">
      <c r="G228" s="134"/>
      <c r="H228" s="34"/>
      <c r="I228" s="34"/>
      <c r="J228" s="134"/>
      <c r="K228" s="134"/>
      <c r="L228" s="34"/>
      <c r="M228" s="34"/>
      <c r="N228" s="34"/>
      <c r="T228" s="129"/>
      <c r="U228" s="129"/>
      <c r="V228" s="129"/>
      <c r="Y228" s="129"/>
    </row>
    <row r="229" spans="7:25" x14ac:dyDescent="0.25">
      <c r="G229" s="134"/>
      <c r="H229" s="34"/>
      <c r="I229" s="34"/>
      <c r="J229" s="134"/>
      <c r="K229" s="134"/>
      <c r="L229" s="34"/>
      <c r="M229" s="34"/>
      <c r="N229" s="34"/>
      <c r="T229" s="129"/>
      <c r="U229" s="129"/>
      <c r="V229" s="129"/>
      <c r="Y229" s="129"/>
    </row>
    <row r="230" spans="7:25" x14ac:dyDescent="0.25">
      <c r="G230" s="134"/>
      <c r="H230" s="34"/>
      <c r="I230" s="34"/>
      <c r="J230" s="134"/>
      <c r="K230" s="134"/>
      <c r="L230" s="34"/>
      <c r="M230" s="34"/>
      <c r="N230" s="34"/>
      <c r="T230" s="129"/>
      <c r="U230" s="129"/>
      <c r="V230" s="129"/>
      <c r="Y230" s="129"/>
    </row>
    <row r="231" spans="7:25" x14ac:dyDescent="0.25">
      <c r="G231" s="134"/>
      <c r="H231" s="34"/>
      <c r="I231" s="34"/>
      <c r="J231" s="134"/>
      <c r="K231" s="134"/>
      <c r="L231" s="34"/>
      <c r="M231" s="34"/>
      <c r="N231" s="34"/>
      <c r="T231" s="129"/>
      <c r="U231" s="129"/>
      <c r="V231" s="129"/>
      <c r="Y231" s="129"/>
    </row>
    <row r="232" spans="7:25" x14ac:dyDescent="0.25">
      <c r="G232" s="134"/>
      <c r="H232" s="34"/>
      <c r="I232" s="34"/>
      <c r="J232" s="134"/>
      <c r="K232" s="134"/>
      <c r="L232" s="34"/>
      <c r="M232" s="34"/>
      <c r="N232" s="34"/>
      <c r="T232" s="129"/>
      <c r="U232" s="129"/>
      <c r="V232" s="129"/>
      <c r="Y232" s="129"/>
    </row>
    <row r="233" spans="7:25" x14ac:dyDescent="0.25">
      <c r="G233" s="134"/>
      <c r="H233" s="34"/>
      <c r="I233" s="34"/>
      <c r="J233" s="134"/>
      <c r="K233" s="134"/>
      <c r="L233" s="34"/>
      <c r="M233" s="34"/>
      <c r="N233" s="34"/>
      <c r="T233" s="129"/>
      <c r="U233" s="129"/>
      <c r="V233" s="129"/>
      <c r="Y233" s="129"/>
    </row>
    <row r="234" spans="7:25" x14ac:dyDescent="0.25">
      <c r="G234" s="134"/>
      <c r="H234" s="34"/>
      <c r="I234" s="34"/>
      <c r="J234" s="134"/>
      <c r="K234" s="134"/>
      <c r="L234" s="34"/>
      <c r="M234" s="34"/>
      <c r="N234" s="34"/>
      <c r="T234" s="129"/>
      <c r="U234" s="129"/>
      <c r="V234" s="129"/>
      <c r="Y234" s="129"/>
    </row>
    <row r="235" spans="7:25" x14ac:dyDescent="0.25">
      <c r="G235" s="134"/>
      <c r="H235" s="34"/>
      <c r="I235" s="34"/>
      <c r="J235" s="134"/>
      <c r="K235" s="134"/>
      <c r="L235" s="34"/>
      <c r="M235" s="34"/>
      <c r="N235" s="34"/>
      <c r="T235" s="129"/>
      <c r="U235" s="129"/>
      <c r="V235" s="129"/>
      <c r="Y235" s="129"/>
    </row>
    <row r="236" spans="7:25" x14ac:dyDescent="0.25">
      <c r="G236" s="134"/>
      <c r="H236" s="34"/>
      <c r="I236" s="34"/>
      <c r="J236" s="134"/>
      <c r="K236" s="134"/>
      <c r="L236" s="34"/>
      <c r="M236" s="34"/>
      <c r="N236" s="34"/>
      <c r="T236" s="129"/>
      <c r="U236" s="129"/>
      <c r="V236" s="129"/>
      <c r="Y236" s="129"/>
    </row>
    <row r="237" spans="7:25" x14ac:dyDescent="0.25">
      <c r="G237" s="134"/>
      <c r="H237" s="34"/>
      <c r="I237" s="34"/>
      <c r="J237" s="134"/>
      <c r="K237" s="134"/>
      <c r="L237" s="34"/>
      <c r="M237" s="34"/>
      <c r="N237" s="34"/>
      <c r="T237" s="129"/>
      <c r="U237" s="129"/>
      <c r="V237" s="129"/>
      <c r="Y237" s="129"/>
    </row>
    <row r="238" spans="7:25" x14ac:dyDescent="0.25">
      <c r="G238" s="134"/>
      <c r="H238" s="34"/>
      <c r="I238" s="34"/>
      <c r="J238" s="134"/>
      <c r="K238" s="134"/>
      <c r="L238" s="34"/>
      <c r="M238" s="34"/>
      <c r="N238" s="34"/>
      <c r="T238" s="129"/>
      <c r="U238" s="129"/>
      <c r="V238" s="129"/>
      <c r="Y238" s="129"/>
    </row>
    <row r="239" spans="7:25" x14ac:dyDescent="0.25">
      <c r="G239" s="134"/>
      <c r="H239" s="34"/>
      <c r="I239" s="34"/>
      <c r="J239" s="134"/>
      <c r="K239" s="134"/>
      <c r="L239" s="34"/>
      <c r="M239" s="34"/>
      <c r="N239" s="34"/>
      <c r="T239" s="129"/>
      <c r="U239" s="129"/>
      <c r="V239" s="129"/>
      <c r="Y239" s="129"/>
    </row>
    <row r="240" spans="7:25" x14ac:dyDescent="0.25">
      <c r="G240" s="134"/>
      <c r="H240" s="34"/>
      <c r="I240" s="34"/>
      <c r="J240" s="134"/>
      <c r="K240" s="134"/>
      <c r="L240" s="34"/>
      <c r="M240" s="34"/>
      <c r="N240" s="34"/>
      <c r="T240" s="129"/>
      <c r="U240" s="129"/>
      <c r="V240" s="129"/>
      <c r="Y240" s="129"/>
    </row>
    <row r="241" spans="7:25" x14ac:dyDescent="0.25">
      <c r="G241" s="134"/>
      <c r="H241" s="34"/>
      <c r="I241" s="34"/>
      <c r="J241" s="134"/>
      <c r="K241" s="134"/>
      <c r="L241" s="34"/>
      <c r="M241" s="34"/>
      <c r="N241" s="34"/>
      <c r="T241" s="129"/>
      <c r="U241" s="129"/>
      <c r="V241" s="129"/>
      <c r="Y241" s="129"/>
    </row>
    <row r="242" spans="7:25" x14ac:dyDescent="0.25">
      <c r="G242" s="134"/>
      <c r="H242" s="34"/>
      <c r="I242" s="34"/>
      <c r="J242" s="134"/>
      <c r="K242" s="134"/>
      <c r="L242" s="34"/>
      <c r="M242" s="34"/>
      <c r="N242" s="34"/>
      <c r="T242" s="129"/>
      <c r="U242" s="129"/>
      <c r="V242" s="129"/>
      <c r="Y242" s="129"/>
    </row>
    <row r="243" spans="7:25" x14ac:dyDescent="0.25">
      <c r="G243" s="134"/>
      <c r="H243" s="34"/>
      <c r="I243" s="34"/>
      <c r="J243" s="134"/>
      <c r="K243" s="134"/>
      <c r="L243" s="34"/>
      <c r="M243" s="34"/>
      <c r="N243" s="34"/>
      <c r="T243" s="129"/>
      <c r="U243" s="129"/>
      <c r="V243" s="129"/>
      <c r="Y243" s="129"/>
    </row>
    <row r="244" spans="7:25" x14ac:dyDescent="0.25">
      <c r="G244" s="134"/>
      <c r="H244" s="34"/>
      <c r="I244" s="34"/>
      <c r="J244" s="134"/>
      <c r="K244" s="134"/>
      <c r="L244" s="34"/>
      <c r="M244" s="34"/>
      <c r="N244" s="34"/>
      <c r="T244" s="129"/>
      <c r="U244" s="129"/>
      <c r="V244" s="129"/>
      <c r="Y244" s="129"/>
    </row>
    <row r="245" spans="7:25" x14ac:dyDescent="0.25">
      <c r="G245" s="134"/>
      <c r="H245" s="34"/>
      <c r="I245" s="34"/>
      <c r="J245" s="134"/>
      <c r="K245" s="134"/>
      <c r="L245" s="34"/>
      <c r="M245" s="34"/>
      <c r="N245" s="34"/>
      <c r="T245" s="129"/>
      <c r="U245" s="129"/>
      <c r="V245" s="129"/>
      <c r="Y245" s="129"/>
    </row>
    <row r="246" spans="7:25" x14ac:dyDescent="0.25">
      <c r="G246" s="134"/>
      <c r="H246" s="34"/>
      <c r="I246" s="34"/>
      <c r="J246" s="134"/>
      <c r="K246" s="134"/>
      <c r="L246" s="34"/>
      <c r="M246" s="34"/>
      <c r="N246" s="34"/>
      <c r="T246" s="129"/>
      <c r="U246" s="129"/>
      <c r="V246" s="129"/>
      <c r="Y246" s="129"/>
    </row>
    <row r="247" spans="7:25" x14ac:dyDescent="0.25">
      <c r="G247" s="134"/>
      <c r="H247" s="34"/>
      <c r="I247" s="34"/>
      <c r="J247" s="134"/>
      <c r="K247" s="134"/>
      <c r="L247" s="34"/>
      <c r="M247" s="34"/>
      <c r="N247" s="34"/>
      <c r="T247" s="129"/>
      <c r="U247" s="129"/>
      <c r="V247" s="129"/>
      <c r="Y247" s="129"/>
    </row>
    <row r="248" spans="7:25" x14ac:dyDescent="0.25">
      <c r="G248" s="134"/>
      <c r="H248" s="34"/>
      <c r="I248" s="34"/>
      <c r="J248" s="134"/>
      <c r="K248" s="134"/>
      <c r="L248" s="34"/>
      <c r="M248" s="34"/>
      <c r="N248" s="34"/>
      <c r="T248" s="129"/>
      <c r="U248" s="129"/>
      <c r="V248" s="129"/>
      <c r="Y248" s="129"/>
    </row>
    <row r="249" spans="7:25" x14ac:dyDescent="0.25">
      <c r="G249" s="134"/>
      <c r="H249" s="34"/>
      <c r="I249" s="34"/>
      <c r="J249" s="134"/>
      <c r="K249" s="134"/>
      <c r="L249" s="34"/>
      <c r="M249" s="34"/>
      <c r="N249" s="34"/>
      <c r="T249" s="129"/>
      <c r="U249" s="129"/>
      <c r="V249" s="129"/>
      <c r="Y249" s="129"/>
    </row>
    <row r="250" spans="7:25" x14ac:dyDescent="0.25">
      <c r="G250" s="134"/>
      <c r="H250" s="34"/>
      <c r="I250" s="34"/>
      <c r="J250" s="134"/>
      <c r="K250" s="134"/>
      <c r="L250" s="34"/>
      <c r="M250" s="34"/>
      <c r="N250" s="34"/>
      <c r="T250" s="129"/>
      <c r="U250" s="129"/>
      <c r="V250" s="129"/>
      <c r="Y250" s="129"/>
    </row>
    <row r="251" spans="7:25" x14ac:dyDescent="0.25">
      <c r="G251" s="134"/>
      <c r="H251" s="34"/>
      <c r="I251" s="34"/>
      <c r="J251" s="134"/>
      <c r="K251" s="134"/>
      <c r="L251" s="34"/>
      <c r="M251" s="34"/>
      <c r="N251" s="34"/>
      <c r="T251" s="129"/>
      <c r="U251" s="129"/>
      <c r="V251" s="129"/>
      <c r="Y251" s="129"/>
    </row>
    <row r="252" spans="7:25" x14ac:dyDescent="0.25">
      <c r="G252" s="134"/>
      <c r="H252" s="34"/>
      <c r="I252" s="34"/>
      <c r="J252" s="134"/>
      <c r="K252" s="134"/>
      <c r="L252" s="34"/>
      <c r="M252" s="34"/>
      <c r="N252" s="34"/>
      <c r="T252" s="129"/>
      <c r="U252" s="129"/>
      <c r="V252" s="129"/>
      <c r="Y252" s="129"/>
    </row>
    <row r="253" spans="7:25" x14ac:dyDescent="0.25">
      <c r="G253" s="134"/>
      <c r="H253" s="34"/>
      <c r="I253" s="34"/>
      <c r="J253" s="134"/>
      <c r="K253" s="134"/>
      <c r="L253" s="34"/>
      <c r="M253" s="34"/>
      <c r="N253" s="34"/>
      <c r="T253" s="129"/>
      <c r="U253" s="129"/>
      <c r="V253" s="129"/>
      <c r="Y253" s="129"/>
    </row>
    <row r="254" spans="7:25" x14ac:dyDescent="0.25">
      <c r="G254" s="134"/>
      <c r="H254" s="34"/>
      <c r="I254" s="34"/>
      <c r="J254" s="134"/>
      <c r="K254" s="134"/>
      <c r="L254" s="34"/>
      <c r="M254" s="34"/>
      <c r="N254" s="34"/>
      <c r="T254" s="129"/>
      <c r="U254" s="129"/>
      <c r="V254" s="129"/>
      <c r="Y254" s="129"/>
    </row>
    <row r="255" spans="7:25" x14ac:dyDescent="0.25">
      <c r="G255" s="134"/>
      <c r="H255" s="34"/>
      <c r="I255" s="34"/>
      <c r="J255" s="134"/>
      <c r="K255" s="134"/>
      <c r="L255" s="34"/>
      <c r="M255" s="34"/>
      <c r="N255" s="34"/>
      <c r="T255" s="129"/>
      <c r="U255" s="129"/>
      <c r="V255" s="129"/>
      <c r="Y255" s="129"/>
    </row>
    <row r="256" spans="7:25" x14ac:dyDescent="0.25">
      <c r="G256" s="134"/>
      <c r="H256" s="34"/>
      <c r="I256" s="34"/>
      <c r="J256" s="134"/>
      <c r="K256" s="134"/>
      <c r="L256" s="34"/>
      <c r="M256" s="34"/>
      <c r="N256" s="34"/>
      <c r="T256" s="129"/>
      <c r="U256" s="129"/>
      <c r="V256" s="129"/>
      <c r="Y256" s="129"/>
    </row>
    <row r="257" spans="7:25" x14ac:dyDescent="0.25">
      <c r="G257" s="134"/>
      <c r="H257" s="34"/>
      <c r="I257" s="34"/>
      <c r="J257" s="134"/>
      <c r="K257" s="134"/>
      <c r="L257" s="34"/>
      <c r="M257" s="34"/>
      <c r="N257" s="34"/>
      <c r="T257" s="129"/>
      <c r="U257" s="129"/>
      <c r="V257" s="129"/>
      <c r="Y257" s="129"/>
    </row>
    <row r="258" spans="7:25" x14ac:dyDescent="0.25">
      <c r="G258" s="134"/>
      <c r="H258" s="34"/>
      <c r="I258" s="34"/>
      <c r="J258" s="134"/>
      <c r="K258" s="134"/>
      <c r="L258" s="34"/>
      <c r="M258" s="34"/>
      <c r="N258" s="34"/>
      <c r="T258" s="129"/>
      <c r="U258" s="129"/>
      <c r="V258" s="129"/>
      <c r="Y258" s="129"/>
    </row>
    <row r="259" spans="7:25" x14ac:dyDescent="0.25">
      <c r="G259" s="134"/>
      <c r="H259" s="34"/>
      <c r="I259" s="34"/>
      <c r="J259" s="134"/>
      <c r="K259" s="134"/>
      <c r="L259" s="34"/>
      <c r="M259" s="34"/>
      <c r="N259" s="34"/>
      <c r="T259" s="129"/>
      <c r="U259" s="129"/>
      <c r="V259" s="129"/>
      <c r="Y259" s="129"/>
    </row>
    <row r="260" spans="7:25" x14ac:dyDescent="0.25">
      <c r="G260" s="134"/>
      <c r="H260" s="34"/>
      <c r="I260" s="34"/>
      <c r="J260" s="134"/>
      <c r="K260" s="134"/>
      <c r="L260" s="34"/>
      <c r="M260" s="34"/>
      <c r="N260" s="34"/>
      <c r="T260" s="129"/>
      <c r="U260" s="129"/>
      <c r="V260" s="129"/>
      <c r="Y260" s="129"/>
    </row>
    <row r="261" spans="7:25" x14ac:dyDescent="0.25">
      <c r="G261" s="129"/>
      <c r="J261" s="129"/>
      <c r="K261" s="129"/>
      <c r="T261" s="129"/>
      <c r="U261" s="129"/>
      <c r="V261" s="129"/>
      <c r="Y261" s="129"/>
    </row>
    <row r="262" spans="7:25" x14ac:dyDescent="0.25">
      <c r="G262" s="129"/>
      <c r="J262" s="129"/>
      <c r="K262" s="129"/>
      <c r="T262" s="129"/>
      <c r="U262" s="129"/>
      <c r="V262" s="129"/>
      <c r="Y262" s="129"/>
    </row>
    <row r="263" spans="7:25" x14ac:dyDescent="0.25">
      <c r="G263" s="129"/>
      <c r="J263" s="129"/>
      <c r="K263" s="129"/>
      <c r="T263" s="129"/>
      <c r="U263" s="129"/>
      <c r="V263" s="129"/>
      <c r="Y263" s="129"/>
    </row>
    <row r="264" spans="7:25" x14ac:dyDescent="0.25">
      <c r="G264" s="129"/>
      <c r="J264" s="129"/>
      <c r="K264" s="129"/>
      <c r="T264" s="129"/>
      <c r="U264" s="129"/>
      <c r="V264" s="129"/>
      <c r="Y264" s="129"/>
    </row>
    <row r="265" spans="7:25" x14ac:dyDescent="0.25">
      <c r="G265" s="129"/>
      <c r="J265" s="129"/>
      <c r="K265" s="129"/>
      <c r="T265" s="129"/>
      <c r="U265" s="129"/>
      <c r="V265" s="129"/>
      <c r="Y265" s="129"/>
    </row>
    <row r="266" spans="7:25" x14ac:dyDescent="0.25">
      <c r="G266" s="129"/>
      <c r="J266" s="129"/>
      <c r="K266" s="129"/>
      <c r="T266" s="129"/>
      <c r="U266" s="129"/>
      <c r="V266" s="129"/>
      <c r="Y266" s="129"/>
    </row>
  </sheetData>
  <sheetProtection algorithmName="SHA-512" hashValue="dCim1hN3gFcb7iQ6l/fGas/T7qpz8bN8C9uDyBoEOezt0ZKjcz98+KvcQtaRfQmwf5yd+jvACaRmWjQ9NuqYMQ==" saltValue="3r/2a1hGYb9r9LV6CJ+mXA==" spinCount="100000" sheet="1" objects="1" scenarios="1"/>
  <autoFilter ref="Y1:Y181" xr:uid="{00000000-0009-0000-0000-000007000000}">
    <filterColumn colId="0">
      <customFilters>
        <customFilter operator="notEqual" val=" "/>
      </customFilters>
    </filterColumn>
  </autoFilter>
  <phoneticPr fontId="19" type="noConversion"/>
  <printOptions horizontalCentered="1"/>
  <pageMargins left="0" right="0" top="0.5" bottom="1" header="0" footer="0"/>
  <pageSetup scale="68" fitToHeight="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Budget</vt:lpstr>
      <vt:lpstr>Revenue Input</vt:lpstr>
      <vt:lpstr>Payroll Input</vt:lpstr>
      <vt:lpstr>Expense Input</vt:lpstr>
      <vt:lpstr>EnrNew</vt:lpstr>
      <vt:lpstr>EnrOld</vt:lpstr>
      <vt:lpstr>Inf</vt:lpstr>
      <vt:lpstr>PRInf</vt:lpstr>
      <vt:lpstr>'Expense Input'!Print_Area</vt:lpstr>
      <vt:lpstr>'Payroll Input'!Print_Area</vt:lpstr>
      <vt:lpstr>Budget!Print_Titles</vt:lpstr>
      <vt:lpstr>'Expense Input'!Print_Titles</vt:lpstr>
      <vt:lpstr>'Payroll Input'!Print_Titles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Scott</dc:creator>
  <cp:keywords/>
  <dc:description/>
  <cp:lastModifiedBy>Desirae Kennemur</cp:lastModifiedBy>
  <cp:revision/>
  <cp:lastPrinted>2022-04-27T19:02:01Z</cp:lastPrinted>
  <dcterms:created xsi:type="dcterms:W3CDTF">2005-10-24T23:59:04Z</dcterms:created>
  <dcterms:modified xsi:type="dcterms:W3CDTF">2022-07-08T19:07:25Z</dcterms:modified>
  <cp:category/>
  <cp:contentStatus/>
</cp:coreProperties>
</file>